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drigo\Documents\PREFEITURA DE SÃO JOÃO DO PARAÍSO\PROJETOS GERAIS\2024\PROJETO PONTE LAGOA\PLANILHA, CRONOGRAMA, COMPOS., BDI\"/>
    </mc:Choice>
  </mc:AlternateContent>
  <bookViews>
    <workbookView xWindow="0" yWindow="0" windowWidth="13584" windowHeight="5628"/>
  </bookViews>
  <sheets>
    <sheet name="ORÇAMENTO" sheetId="1" r:id="rId1"/>
    <sheet name="CRONOGRAMA" sheetId="2" r:id="rId2"/>
    <sheet name="COMPOSIÇÕES" sheetId="3" r:id="rId3"/>
    <sheet name="BDI" sheetId="4" r:id="rId4"/>
    <sheet name="MEMÓRIA DE CÁLCULO DETALHADA" sheetId="7" r:id="rId5"/>
    <sheet name="BDI (2)" sheetId="6" r:id="rId6"/>
  </sheets>
  <externalReferences>
    <externalReference r:id="rId7"/>
    <externalReference r:id="rId8"/>
  </externalReferences>
  <definedNames>
    <definedName name="_xlnm._FilterDatabase" localSheetId="0" hidden="1">ORÇAMENTO!$A$1:$I$61</definedName>
    <definedName name="_xlnm.Print_Area" localSheetId="3">BDI!$A$1:$L$52</definedName>
    <definedName name="_xlnm.Print_Area" localSheetId="5">'BDI (2)'!$A$1:$S$42</definedName>
    <definedName name="_xlnm.Print_Area" localSheetId="2">COMPOSIÇÕES!$A$1:$H$25</definedName>
    <definedName name="_xlnm.Print_Area" localSheetId="1">CRONOGRAMA!$A$1:$M$32</definedName>
    <definedName name="_xlnm.Print_Area" localSheetId="4">'MEMÓRIA DE CÁLCULO DETALHADA'!$A$1:$G$84</definedName>
    <definedName name="_xlnm.Print_Area" localSheetId="0">ORÇAMENTO!$A$1:$I$74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H10" i="3"/>
  <c r="H11" i="3"/>
  <c r="H12" i="3"/>
  <c r="H14" i="3"/>
  <c r="G52" i="7"/>
  <c r="G53" i="7"/>
  <c r="H40" i="3" l="1"/>
  <c r="H39" i="3"/>
  <c r="H38" i="3"/>
  <c r="H37" i="3"/>
  <c r="H36" i="3"/>
  <c r="H35" i="3"/>
  <c r="H34" i="3" l="1"/>
  <c r="G50" i="7"/>
  <c r="F40" i="1"/>
  <c r="G65" i="7" l="1"/>
  <c r="G62" i="7"/>
  <c r="G63" i="7"/>
  <c r="G67" i="7"/>
  <c r="F45" i="1" l="1"/>
  <c r="G55" i="7"/>
  <c r="H51" i="1"/>
  <c r="I51" i="1" s="1"/>
  <c r="G31" i="7" l="1"/>
  <c r="G19" i="7"/>
  <c r="F14" i="1"/>
  <c r="F13" i="1"/>
  <c r="G14" i="7"/>
  <c r="G13" i="7"/>
  <c r="G18" i="7" l="1"/>
  <c r="F52" i="1"/>
  <c r="H52" i="1"/>
  <c r="I52" i="1" s="1"/>
  <c r="H53" i="1"/>
  <c r="I53" i="1" s="1"/>
  <c r="G73" i="7" l="1"/>
  <c r="G74" i="7"/>
  <c r="G72" i="7"/>
  <c r="G71" i="7"/>
  <c r="G54" i="7" l="1"/>
  <c r="G56" i="7"/>
  <c r="G44" i="7"/>
  <c r="G33" i="7"/>
  <c r="G43" i="7"/>
  <c r="G42" i="7"/>
  <c r="G39" i="7" l="1"/>
  <c r="G38" i="7"/>
  <c r="G30" i="7"/>
  <c r="G32" i="7"/>
  <c r="H28" i="1"/>
  <c r="I28" i="1" s="1"/>
  <c r="G41" i="7"/>
  <c r="H34" i="1"/>
  <c r="I34" i="1" s="1"/>
  <c r="G40" i="7"/>
  <c r="G51" i="7" l="1"/>
  <c r="G29" i="7"/>
  <c r="G28" i="7" l="1"/>
  <c r="G27" i="7"/>
  <c r="G26" i="7" l="1"/>
  <c r="G25" i="7"/>
  <c r="G20" i="7"/>
  <c r="A10" i="7" l="1"/>
  <c r="G10" i="7"/>
  <c r="A13" i="7"/>
  <c r="A17" i="7"/>
  <c r="G17" i="7"/>
  <c r="A25" i="7"/>
  <c r="A38" i="7"/>
  <c r="A49" i="7"/>
  <c r="G49" i="7"/>
  <c r="A62" i="7"/>
  <c r="A71" i="7"/>
  <c r="C77" i="7"/>
  <c r="T3" i="6" l="1"/>
  <c r="T4" i="6"/>
  <c r="T5" i="6"/>
  <c r="T6" i="6"/>
  <c r="K14" i="6"/>
  <c r="N14" i="6"/>
  <c r="Q14" i="6"/>
  <c r="T14" i="6"/>
  <c r="K15" i="6"/>
  <c r="N15" i="6"/>
  <c r="Q15" i="6"/>
  <c r="T15" i="6"/>
  <c r="K16" i="6"/>
  <c r="N16" i="6"/>
  <c r="Q16" i="6"/>
  <c r="K17" i="6"/>
  <c r="T17" i="6" s="1"/>
  <c r="N17" i="6"/>
  <c r="Q17" i="6"/>
  <c r="K18" i="6"/>
  <c r="T18" i="6" s="1"/>
  <c r="N18" i="6"/>
  <c r="Q18" i="6"/>
  <c r="K19" i="6"/>
  <c r="N19" i="6"/>
  <c r="Q19" i="6"/>
  <c r="T19" i="6"/>
  <c r="K20" i="6"/>
  <c r="N20" i="6"/>
  <c r="Q20" i="6"/>
  <c r="G21" i="6"/>
  <c r="K21" i="6"/>
  <c r="N21" i="6"/>
  <c r="Q21" i="6"/>
  <c r="G22" i="6"/>
  <c r="K26" i="6"/>
  <c r="N26" i="6"/>
  <c r="Q26" i="6"/>
  <c r="T34" i="6"/>
  <c r="T35" i="6"/>
  <c r="T37" i="6"/>
  <c r="J41" i="6"/>
  <c r="B11" i="6" l="1"/>
  <c r="B30" i="6"/>
  <c r="G23" i="6"/>
  <c r="T16" i="6"/>
  <c r="T20" i="6"/>
  <c r="B29" i="6"/>
  <c r="G26" i="6"/>
  <c r="J26" i="6" s="1"/>
  <c r="B27" i="6" s="1"/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4" i="1"/>
  <c r="L55" i="1"/>
  <c r="L56" i="1"/>
  <c r="L57" i="1"/>
  <c r="L58" i="1"/>
  <c r="L59" i="1"/>
  <c r="L11" i="1"/>
  <c r="B17" i="3"/>
  <c r="F15" i="3"/>
  <c r="H15" i="3" s="1"/>
  <c r="H9" i="3" l="1"/>
  <c r="H40" i="1" l="1"/>
  <c r="I40" i="1" s="1"/>
  <c r="H11" i="1"/>
  <c r="I11" i="1" s="1"/>
  <c r="A22" i="2"/>
  <c r="B61" i="1"/>
  <c r="H13" i="1" l="1"/>
  <c r="I13" i="1" s="1"/>
  <c r="H59" i="1" l="1"/>
  <c r="I59" i="1" s="1"/>
  <c r="H58" i="1"/>
  <c r="I58" i="1" s="1"/>
  <c r="H57" i="1"/>
  <c r="I57" i="1" s="1"/>
  <c r="H56" i="1"/>
  <c r="I56" i="1" s="1"/>
  <c r="H54" i="1"/>
  <c r="I54" i="1" s="1"/>
  <c r="H50" i="1"/>
  <c r="I50" i="1" s="1"/>
  <c r="H49" i="1"/>
  <c r="I49" i="1" s="1"/>
  <c r="H45" i="1"/>
  <c r="I45" i="1" s="1"/>
  <c r="H47" i="1"/>
  <c r="I47" i="1" s="1"/>
  <c r="H44" i="1"/>
  <c r="I44" i="1" s="1"/>
  <c r="H43" i="1"/>
  <c r="I43" i="1" s="1"/>
  <c r="H42" i="1"/>
  <c r="I42" i="1" s="1"/>
  <c r="H41" i="1"/>
  <c r="I41" i="1" s="1"/>
  <c r="H39" i="1"/>
  <c r="I39" i="1" s="1"/>
  <c r="H36" i="1"/>
  <c r="I36" i="1" s="1"/>
  <c r="H35" i="1"/>
  <c r="I35" i="1" s="1"/>
  <c r="H32" i="1"/>
  <c r="I32" i="1" s="1"/>
  <c r="H37" i="1"/>
  <c r="I37" i="1" s="1"/>
  <c r="H33" i="1"/>
  <c r="I33" i="1" s="1"/>
  <c r="H31" i="1"/>
  <c r="I31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46" i="1"/>
  <c r="I46" i="1" s="1"/>
  <c r="H29" i="1"/>
  <c r="I29" i="1" s="1"/>
  <c r="H27" i="1"/>
  <c r="I27" i="1" s="1"/>
  <c r="H17" i="1"/>
  <c r="I17" i="1" s="1"/>
  <c r="H16" i="1"/>
  <c r="I16" i="1" s="1"/>
  <c r="H18" i="1"/>
  <c r="I18" i="1" s="1"/>
  <c r="H19" i="1"/>
  <c r="I19" i="1" s="1"/>
  <c r="I30" i="1" l="1"/>
  <c r="D15" i="2" s="1"/>
  <c r="I55" i="1"/>
  <c r="D18" i="2" s="1"/>
  <c r="I48" i="1"/>
  <c r="D17" i="2" s="1"/>
  <c r="I38" i="1"/>
  <c r="D16" i="2" s="1"/>
  <c r="I20" i="1"/>
  <c r="D14" i="2" s="1"/>
  <c r="I15" i="1"/>
  <c r="D13" i="2" s="1"/>
  <c r="H14" i="1"/>
  <c r="I14" i="1" s="1"/>
  <c r="I12" i="1" s="1"/>
  <c r="D12" i="2" s="1"/>
  <c r="F16" i="2" l="1"/>
  <c r="I16" i="2"/>
  <c r="L16" i="2"/>
  <c r="L17" i="2"/>
  <c r="F17" i="2"/>
  <c r="I17" i="2"/>
  <c r="F12" i="2"/>
  <c r="I12" i="2"/>
  <c r="L12" i="2"/>
  <c r="F18" i="2"/>
  <c r="L18" i="2"/>
  <c r="I18" i="2"/>
  <c r="F13" i="2"/>
  <c r="L13" i="2"/>
  <c r="I13" i="2"/>
  <c r="F14" i="2"/>
  <c r="L14" i="2"/>
  <c r="I14" i="2"/>
  <c r="F15" i="2"/>
  <c r="I15" i="2"/>
  <c r="L15" i="2"/>
  <c r="I10" i="1"/>
  <c r="D11" i="2" s="1"/>
  <c r="I60" i="1" l="1"/>
  <c r="L11" i="2"/>
  <c r="L19" i="2" s="1"/>
  <c r="I11" i="2"/>
  <c r="I19" i="2" s="1"/>
  <c r="D20" i="2"/>
  <c r="D19" i="2"/>
  <c r="F11" i="2"/>
  <c r="F19" i="2" s="1"/>
  <c r="J19" i="2" l="1"/>
  <c r="F20" i="2"/>
  <c r="I20" i="2" s="1"/>
  <c r="L20" i="2" s="1"/>
  <c r="G19" i="2"/>
  <c r="G20" i="2" s="1"/>
  <c r="M19" i="2"/>
  <c r="J20" i="2" l="1"/>
  <c r="M20" i="2" s="1"/>
</calcChain>
</file>

<file path=xl/sharedStrings.xml><?xml version="1.0" encoding="utf-8"?>
<sst xmlns="http://schemas.openxmlformats.org/spreadsheetml/2006/main" count="654" uniqueCount="345">
  <si>
    <t>Planilha Orçamentária</t>
  </si>
  <si>
    <t>Referência</t>
  </si>
  <si>
    <t>BDI</t>
  </si>
  <si>
    <t>TOTAL</t>
  </si>
  <si>
    <t>ITEM</t>
  </si>
  <si>
    <t>CÓDIGO</t>
  </si>
  <si>
    <t>FONTE</t>
  </si>
  <si>
    <t>DESCRIÇÃO</t>
  </si>
  <si>
    <t>UNID.</t>
  </si>
  <si>
    <t>QUANT.</t>
  </si>
  <si>
    <t>PREÇO UNIT.</t>
  </si>
  <si>
    <t>PREÇO UNIT. (BDI)</t>
  </si>
  <si>
    <t>PREÇO TOTAL</t>
  </si>
  <si>
    <t>1.0</t>
  </si>
  <si>
    <t>1.2</t>
  </si>
  <si>
    <t>2.0</t>
  </si>
  <si>
    <t>2.1</t>
  </si>
  <si>
    <t>PREFEITURA MUNICIPAL DE SÃO JOÃO DO PARAÍSO MG</t>
  </si>
  <si>
    <t>Praça Artur Trancoso 08, centro - São João do Paraíso - MG - CEP 39540-000</t>
  </si>
  <si>
    <t>Telefone (38) 3832-1135</t>
  </si>
  <si>
    <t>1.4</t>
  </si>
  <si>
    <t>SINAPI</t>
  </si>
  <si>
    <t>3.0</t>
  </si>
  <si>
    <t>3.1</t>
  </si>
  <si>
    <t>3.2</t>
  </si>
  <si>
    <t>2.2</t>
  </si>
  <si>
    <t>ESTUDOS DE ENGENHARIA E SERVIÇOS PRELIMINARES</t>
  </si>
  <si>
    <t>MOBILIZAÇÃO E DESMOBILIZAÇÃO</t>
  </si>
  <si>
    <t>ADMINISTRAÇÃO DE CANTEIRO DE OBRAS</t>
  </si>
  <si>
    <t>SICRO</t>
  </si>
  <si>
    <t>H</t>
  </si>
  <si>
    <t>MESTRE DE OBRAS COM ENCARGOS COMPLEMENTARES</t>
  </si>
  <si>
    <t>3.3</t>
  </si>
  <si>
    <t>3.4</t>
  </si>
  <si>
    <t>E9686</t>
  </si>
  <si>
    <t>E9763</t>
  </si>
  <si>
    <t>4.0</t>
  </si>
  <si>
    <t>4.1</t>
  </si>
  <si>
    <t>4.2</t>
  </si>
  <si>
    <t>4.3</t>
  </si>
  <si>
    <t>4.4</t>
  </si>
  <si>
    <t>INFRAESTRUTURA - ESTACA RAIZ E BLOCO</t>
  </si>
  <si>
    <t>4.5</t>
  </si>
  <si>
    <t>4.6</t>
  </si>
  <si>
    <t>4.7</t>
  </si>
  <si>
    <t>4.9</t>
  </si>
  <si>
    <t>M³</t>
  </si>
  <si>
    <t>ESCAVAÇÃO MANUAL DE VALA COM PROFUNDIDADE MENOR OU IGUAL A 1,30 M. AF_ 02/2021</t>
  </si>
  <si>
    <t>M</t>
  </si>
  <si>
    <t>LANÇAMENTO COM USO DE BALDES, ADENSAMENTO E ACABAMENTO DE CONCRETO EM ESTRUTURAS. AF_12/2015</t>
  </si>
  <si>
    <t>KG</t>
  </si>
  <si>
    <t>ARMAÇÃO DE ESTRUTURAS DE CONCRETO ARMADO, EXCETO VIGAS, PILARES, LAJES E FUNDAÇÕES, UTILIZANDO AÇO CA-50 DE 6,3 MM - MONTAGEM. AF_12/2015</t>
  </si>
  <si>
    <t>ARMAÇÃO DE ESTRUTURAS DE CONCRETO ARMADO, EXCETO VIGAS, PILARES, LAJES E FUNDAÇÕES, UTILIZANDO AÇO CA-50 DE 8,0 MM - MONTAGEM. AF_12/2015</t>
  </si>
  <si>
    <t>ARMAÇÃO DE ESTRUTURAS DE CONCRETO ARMADO, EXCETO VIGAS, PILARES, LAJES E FUNDAÇÕES, UTILIZANDO AÇO CA-50 DE 12,5MM - MONTAGEM. AF_12/2015</t>
  </si>
  <si>
    <t>M²</t>
  </si>
  <si>
    <t>Fôrmas de tábuas de pinho - utilização de 3 vezes - confecção, instalação e retirada</t>
  </si>
  <si>
    <t>5.0</t>
  </si>
  <si>
    <t>5.2</t>
  </si>
  <si>
    <t>ARMAÇÃO DE ESTRUTURAS DE CONCRETO ARMADO, EXCETO VIGAS, PILARES, LAJES E FUNDAÇÕES, UTILIZANDO AÇO CA-50 DE 10,0MM - MONTAGEM. AF_12/2015</t>
  </si>
  <si>
    <t>5.3</t>
  </si>
  <si>
    <t>5.4</t>
  </si>
  <si>
    <t>5.6</t>
  </si>
  <si>
    <t>5.7</t>
  </si>
  <si>
    <t>6.0</t>
  </si>
  <si>
    <t>6.2</t>
  </si>
  <si>
    <t>6.3</t>
  </si>
  <si>
    <t>6.5</t>
  </si>
  <si>
    <t>6.6</t>
  </si>
  <si>
    <t>6.7</t>
  </si>
  <si>
    <t>6.8</t>
  </si>
  <si>
    <t>6.9</t>
  </si>
  <si>
    <t>ARMAÇÃO DE ESTRUTURAS DE CONCRETO ARMADO, EXCETO VIGAS, PILARES, LAJES E FUNDAÇÕES, UTILIZANDO AÇO CA-50 DE 25,0 MM - MONTAGEM. AF_12/2015</t>
  </si>
  <si>
    <t>Escoramento com pontaletes D = 15 cm - utilização de 1 vez - confecção e instalação</t>
  </si>
  <si>
    <t>DM³</t>
  </si>
  <si>
    <t>Aparelho de apoio de neoprene fretado para estruturas pré-moldadas - fornecimento e instalação</t>
  </si>
  <si>
    <t>CPU2</t>
  </si>
  <si>
    <t>COMPOSIÇÃO</t>
  </si>
  <si>
    <t>7.0</t>
  </si>
  <si>
    <t>7.1</t>
  </si>
  <si>
    <t>7.2</t>
  </si>
  <si>
    <t>7.3</t>
  </si>
  <si>
    <t>Pintura manual com nata de cimento - 3 demãos</t>
  </si>
  <si>
    <t>LIMPEZA DE CONTRAPISO COM VASSOURA A SECO. AF_04/2019</t>
  </si>
  <si>
    <t>8.0</t>
  </si>
  <si>
    <t>8.1</t>
  </si>
  <si>
    <t>8.2</t>
  </si>
  <si>
    <t>8.3</t>
  </si>
  <si>
    <t>TRANSPORTES</t>
  </si>
  <si>
    <t>8.4</t>
  </si>
  <si>
    <t>SUPERESTRUTURA</t>
  </si>
  <si>
    <t>SERVIÇOS FINAIS E ACABAMENTOS</t>
  </si>
  <si>
    <t>CRONOGRAMA FÍSICO-FINANCEIRO</t>
  </si>
  <si>
    <t>%</t>
  </si>
  <si>
    <t>VALOR</t>
  </si>
  <si>
    <t>MÊS 01</t>
  </si>
  <si>
    <t>MÊS 02</t>
  </si>
  <si>
    <t>MÊS 03</t>
  </si>
  <si>
    <t>ESTUDOS DE ENGENHARIA E SERVIÇOS</t>
  </si>
  <si>
    <t>ADMINISTRAÇÃO DE CANTEIRO DE OBRA</t>
  </si>
  <si>
    <t xml:space="preserve">INFRAESTRUTURA </t>
  </si>
  <si>
    <t>MESOESTRUTURA</t>
  </si>
  <si>
    <t>EVOLUÇÃO</t>
  </si>
  <si>
    <t>R$</t>
  </si>
  <si>
    <t>PLACA DE OBRA</t>
  </si>
  <si>
    <t>ENGENHEIRO CIVIL DE OBRA JUNIOR COM ENCARGOS COMPLEMENTARES</t>
  </si>
  <si>
    <t>MESOESTRUTURA - CORTINA E PILARES</t>
  </si>
  <si>
    <t>Dreno de PVC D = 75 mm para OAE - fornecimento e instalação</t>
  </si>
  <si>
    <t>TRANSPORTE COM CAMINHÃO CARROCERIA 9T, EM VIA URBANA PAVIMENTADA, ADICIONAL PARA DMT EXCEDENTE A 30 KM (UNIDADE: TXKM). AF_07/2020  (AÇO)</t>
  </si>
  <si>
    <t>TRANSPORTE COM CAMINHÃO BASCULANTE DE 10 M³, EM VIA URBANA PAVIMENTADA, ADICIONAL PARA DMT EXCEDENTE A 30 KM (UNIDADE: M3XKM). AF_07/2020(AREIA)</t>
  </si>
  <si>
    <t>TRANSPORTE COM CAMINHÃO BASCULANTE DE 10 M³, EM VIA URBANA PAVIMENTADA, ADICIONAL PARA DMT EXCEDENTE A 30 KM (UNIDADE: M3XKM). AF_07/2020(BRITA)</t>
  </si>
  <si>
    <t>TRANSPORTE COM CAMINHÃO CARROCERIA 9T, EM VIA URBANA PAVIMENTADA, ADICIONAL PARA DMT EXCEDENTE A 30 KM (UNIDADE: TXKM). AF_07/2020  (CIMENTO)</t>
  </si>
  <si>
    <t>CONCRETO MAGRO PARA LASTRO, TRAÇO 1:4,5:4,5 (EM MASSA SECA DE CIMENTO/ AREIA MÉDIA/ BRITA 1) - PREPARO MECÂNICO COM BETONEIRA 400 L. AF_05/2021</t>
  </si>
  <si>
    <t>SERVENTE COM ENCARGOS COMPLEMENTARES</t>
  </si>
  <si>
    <t>CARPINTEIRO DE FORMAS COM ENCARGOS COMPLEMENTARES</t>
  </si>
  <si>
    <t xml:space="preserve">PARAFUSO DE FERRO POLIDO, SEXTAVADO, COM ROSCA PARCIAL, DIAMETRO 5/8", COMPRIMENTO 6", COM PORCA E ARRUELA DE PRESSAO MEDIA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</si>
  <si>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MADEIRA ROLICA TRATADA, D = 12 A 15 CM, H = 3,00 M, EM EUCALIPTO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</si>
  <si>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CPU-01</t>
  </si>
  <si>
    <t>1.1</t>
  </si>
  <si>
    <t>1.3</t>
  </si>
  <si>
    <t>1.5</t>
  </si>
  <si>
    <t>1.6</t>
  </si>
  <si>
    <t>M3</t>
  </si>
  <si>
    <t xml:space="preserve">M2    </t>
  </si>
  <si>
    <t xml:space="preserve">UN    </t>
  </si>
  <si>
    <t xml:space="preserve">M     </t>
  </si>
  <si>
    <t>SINAPI-I</t>
  </si>
  <si>
    <t>FORMA METÁLICA PARA VIGA DE CONCRETO PRÉ-MOLDADA</t>
  </si>
  <si>
    <t>PLACA DE POLIESTIRENO EXPANDIDO (EPS)</t>
  </si>
  <si>
    <t>CONCRETO FCK=25MPA, VIRADO EM BETONEIRA</t>
  </si>
  <si>
    <t>ARMAÇÃO EM AÇO CA-50- FORNECIMENTO, PREPARO E COLOCAÇÃO</t>
  </si>
  <si>
    <t>SINAPI/SICRO</t>
  </si>
  <si>
    <t>m²</t>
  </si>
  <si>
    <t>Kg</t>
  </si>
  <si>
    <t>LAJE PRÉ-MOLDADA CLASSE 45 Ton</t>
  </si>
  <si>
    <t xml:space="preserve">PLACA DE OBRA (PARA CONSTRUCAO CIVIL) EM CHAPA GALVANIZADA *N. 22*, ADESIVADA, DE *3 X 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</si>
  <si>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PLANILHA ORÇAMENTÁRIA DE CUSTOS</t>
  </si>
  <si>
    <t>CREA</t>
  </si>
  <si>
    <r>
      <t xml:space="preserve">Prefeita Municipal de </t>
    </r>
    <r>
      <rPr>
        <sz val="10"/>
        <rFont val="Arial"/>
        <family val="2"/>
      </rPr>
      <t xml:space="preserve">São João do Paraíso - </t>
    </r>
    <r>
      <rPr>
        <sz val="10"/>
        <rFont val="Calibri"/>
        <family val="2"/>
      </rPr>
      <t>MG: SELMA MARIA MORAIS DOS SANTOS</t>
    </r>
  </si>
  <si>
    <t>_____________________________________________________________________</t>
  </si>
  <si>
    <t>______________________________________________________________________________</t>
  </si>
  <si>
    <r>
      <rPr>
        <b/>
        <sz val="11"/>
        <color theme="1"/>
        <rFont val="Calibri"/>
        <family val="2"/>
        <scheme val="minor"/>
      </rPr>
      <t>PRAZO DE EXECUÇÃO:</t>
    </r>
    <r>
      <rPr>
        <sz val="11"/>
        <color theme="1"/>
        <rFont val="Calibri"/>
        <family val="2"/>
        <scheme val="minor"/>
      </rPr>
      <t xml:space="preserve"> 03 meses (90 dias)</t>
    </r>
  </si>
  <si>
    <r>
      <rPr>
        <b/>
        <sz val="11"/>
        <color theme="1"/>
        <rFont val="Calibri"/>
        <family val="2"/>
        <scheme val="minor"/>
      </rPr>
      <t>LOCAL:</t>
    </r>
    <r>
      <rPr>
        <sz val="11"/>
        <color theme="1"/>
        <rFont val="Calibri"/>
        <family val="2"/>
        <scheme val="minor"/>
      </rPr>
      <t xml:space="preserve"> Comunidade de Lagoa (Zona 23L Long. 821018.00 m E lat. 8306405.00 m S)</t>
    </r>
  </si>
  <si>
    <t>COMPOSIÇÕES</t>
  </si>
  <si>
    <t xml:space="preserve"> Cargo e Nome</t>
  </si>
  <si>
    <t>PREFEITA SELMA MARIA MORAIS DOS SANTOS</t>
  </si>
  <si>
    <t>Assinatura do Responsável Tomador</t>
  </si>
  <si>
    <t>Data</t>
  </si>
  <si>
    <t>Título, Nome e CREA/CAU do Responsável Técnico pelo orçamento</t>
  </si>
  <si>
    <t>Nº ART ou RRT do orçamento</t>
  </si>
  <si>
    <t>Assinatura do Responsável Técnico pelo orçamento</t>
  </si>
  <si>
    <t>Observações:</t>
  </si>
  <si>
    <t>DECLARAÇÕES</t>
  </si>
  <si>
    <r>
      <t>BDI desconsiderando a parcela 
(I</t>
    </r>
    <r>
      <rPr>
        <sz val="6"/>
        <rFont val="Arial"/>
        <family val="2"/>
      </rPr>
      <t>4</t>
    </r>
    <r>
      <rPr>
        <sz val="8"/>
        <rFont val="Arial"/>
        <family val="2"/>
      </rPr>
      <t>) contribuição previdenciária</t>
    </r>
  </si>
  <si>
    <t>Limites do valor do BDI para obras do tipo acima selecionado.
Acórdão TCU 2622/2013</t>
  </si>
  <si>
    <t>Valor para simples conferência do enquadramento do BDI nos limites estabelecidos pelo Acórdão TCU 2622/2013</t>
  </si>
  <si>
    <t>BDI Adotado</t>
  </si>
  <si>
    <r>
      <t>(I</t>
    </r>
    <r>
      <rPr>
        <b/>
        <sz val="5"/>
        <rFont val="Arial"/>
        <family val="2"/>
      </rPr>
      <t>4</t>
    </r>
    <r>
      <rPr>
        <b/>
        <sz val="10"/>
        <rFont val="Arial"/>
        <family val="2"/>
      </rPr>
      <t xml:space="preserve">) - </t>
    </r>
    <r>
      <rPr>
        <sz val="10"/>
        <rFont val="Arial"/>
        <family val="2"/>
      </rPr>
      <t>Contrib. Previdenciária</t>
    </r>
  </si>
  <si>
    <r>
      <t>(I</t>
    </r>
    <r>
      <rPr>
        <b/>
        <sz val="5"/>
        <rFont val="Arial"/>
        <family val="2"/>
      </rPr>
      <t>3</t>
    </r>
    <r>
      <rPr>
        <b/>
        <sz val="10"/>
        <rFont val="Arial"/>
        <family val="2"/>
      </rPr>
      <t xml:space="preserve">) - </t>
    </r>
    <r>
      <rPr>
        <sz val="10"/>
        <rFont val="Arial"/>
        <family val="2"/>
      </rPr>
      <t>ISS</t>
    </r>
  </si>
  <si>
    <r>
      <t>(I</t>
    </r>
    <r>
      <rPr>
        <b/>
        <sz val="5"/>
        <rFont val="Arial"/>
        <family val="2"/>
      </rPr>
      <t>2</t>
    </r>
    <r>
      <rPr>
        <b/>
        <sz val="10"/>
        <rFont val="Arial"/>
        <family val="2"/>
      </rPr>
      <t xml:space="preserve">) - </t>
    </r>
    <r>
      <rPr>
        <sz val="10"/>
        <rFont val="Arial"/>
        <family val="2"/>
      </rPr>
      <t>COFINS</t>
    </r>
  </si>
  <si>
    <r>
      <t>(I</t>
    </r>
    <r>
      <rPr>
        <b/>
        <sz val="6"/>
        <rFont val="Arial"/>
        <family val="2"/>
      </rPr>
      <t>1</t>
    </r>
    <r>
      <rPr>
        <b/>
        <sz val="10"/>
        <rFont val="Arial"/>
        <family val="2"/>
      </rPr>
      <t xml:space="preserve">) - </t>
    </r>
    <r>
      <rPr>
        <sz val="10"/>
        <rFont val="Arial"/>
        <family val="2"/>
      </rPr>
      <t>PIS</t>
    </r>
  </si>
  <si>
    <r>
      <t xml:space="preserve">(L) - </t>
    </r>
    <r>
      <rPr>
        <sz val="9"/>
        <rFont val="Arial"/>
        <family val="2"/>
      </rPr>
      <t>Lucro</t>
    </r>
  </si>
  <si>
    <r>
      <t xml:space="preserve">(DF) - </t>
    </r>
    <r>
      <rPr>
        <sz val="9"/>
        <rFont val="Arial"/>
        <family val="2"/>
      </rPr>
      <t>Despesas Financeiras</t>
    </r>
  </si>
  <si>
    <r>
      <t xml:space="preserve">(R) - </t>
    </r>
    <r>
      <rPr>
        <sz val="9"/>
        <rFont val="Arial"/>
        <family val="2"/>
      </rPr>
      <t>Risco</t>
    </r>
  </si>
  <si>
    <r>
      <t xml:space="preserve">(S) + (G) - </t>
    </r>
    <r>
      <rPr>
        <sz val="9"/>
        <rFont val="Arial"/>
        <family val="2"/>
      </rPr>
      <t>Seguro e Garantia</t>
    </r>
  </si>
  <si>
    <r>
      <t xml:space="preserve">(AC) - </t>
    </r>
    <r>
      <rPr>
        <sz val="9"/>
        <rFont val="Arial"/>
        <family val="2"/>
      </rPr>
      <t>Administração Central</t>
    </r>
  </si>
  <si>
    <t>Máx.</t>
  </si>
  <si>
    <t>Med.</t>
  </si>
  <si>
    <t>Mín</t>
  </si>
  <si>
    <t>Limites das parcelas do BDI para obras do tipo acima selecionado.
Acórdão TCU 2622/2013</t>
  </si>
  <si>
    <t>Valor percentual adotado</t>
  </si>
  <si>
    <t>Parcelas do BDI</t>
  </si>
  <si>
    <t>Sobre a base de cálculo, definir a respectiva alíquota do ISS (entre 2% e 5%):</t>
  </si>
  <si>
    <t>Conforme legislação tributária municipal, definir estimativa de percentual da base de cálculo para o ISS:</t>
  </si>
  <si>
    <t>Contribuição Previdenciária</t>
  </si>
  <si>
    <t>Tipo de Obra</t>
  </si>
  <si>
    <t>SÃO JOÃO DO PARAÍSO MG</t>
  </si>
  <si>
    <t>Município da Obra</t>
  </si>
  <si>
    <t>Construção de uma Ponte de Concreto Armado na Comunidade Lagoa</t>
  </si>
  <si>
    <t>Nome da Obra</t>
  </si>
  <si>
    <t>Nº do Contrato de Repasse</t>
  </si>
  <si>
    <t>Tomador</t>
  </si>
  <si>
    <t>Planilha de Detalhamento do BDI</t>
  </si>
  <si>
    <t>MG20242912139</t>
  </si>
  <si>
    <t>CPU-02</t>
  </si>
  <si>
    <t>M0786</t>
  </si>
  <si>
    <t>P9824</t>
  </si>
  <si>
    <t xml:space="preserve"> TRANSPORTE DE AÇO DO DEPOSITO-LOCAL DA OBRA </t>
  </si>
  <si>
    <t xml:space="preserve"> TRANSPORTE DE CIMENTO DO DEPOSITO-LOCAL DA OBRA </t>
  </si>
  <si>
    <t>APLICAÇÃO DE FORMULA</t>
  </si>
  <si>
    <t>FORMULA</t>
  </si>
  <si>
    <t>FINALIDADE DO SERV.</t>
  </si>
  <si>
    <t>DESCRIÇÃO DO SERVIÇO</t>
  </si>
  <si>
    <t>ORDEM</t>
  </si>
  <si>
    <t>LIMPEZA DE TODA ÁREA DO TABULEIRO DA PONTE</t>
  </si>
  <si>
    <t xml:space="preserve"> DRENOS EM PVC TUBO DE 100mm ESPAÇADOS NAS LATERAIS DA PONTE PARA DRENAGEM DAS AGUAS PLUVIAIS E SEGURANÇA DOS USUARIOS NO COMBATE AO EFEITO DE AQUAPLANAGEM DOS VEICULOS </t>
  </si>
  <si>
    <t xml:space="preserve"> SOMATORIO AREA DE FORMAS PARA CONCRETO DA LAJE, VIGAS E GUARDA-RODAS</t>
  </si>
  <si>
    <t xml:space="preserve"> PINTURA PARA ACABAMENTO FINAL E ENTREGA DE OBRA COM NATA DE CIMENTO. </t>
  </si>
  <si>
    <t>3,0DM x 3,0DM x 0,4DM = 3,6DM³ X 4,0(UND)</t>
  </si>
  <si>
    <t>DIMENSÃO DO NEOPREME EM DM X UNIDADES</t>
  </si>
  <si>
    <t>PERMITE A TRANSIÇAO ENTRE A SUPERESTRUTURA E A MESOSTRUTURA, DE FORMA A PERMITIR A TRANSFERÊNCIA DAS CARGAS E MOVIMENTOS DA ESTRUTURA</t>
  </si>
  <si>
    <t>ALTURA DA PONTE x ÁREA QUADRADA DA PONTE</t>
  </si>
  <si>
    <t>ESCORAMENTO DAS FORMAS DE MADEIRA</t>
  </si>
  <si>
    <t>VIGOTAS PRÉ-MOLDADAS + EPS, QUE COMPÕE A LAJE DO TABULEIRO DA PONTE</t>
  </si>
  <si>
    <t>Laje Pré-Moldada Classe 45T</t>
  </si>
  <si>
    <t>VOLUME TOTAL EM M³ DO CONCRETO</t>
  </si>
  <si>
    <t>COMPRIMENTO x LARGURA DAS PEÇAS x UNIDADES</t>
  </si>
  <si>
    <t>ARMADURA NECESSÁRIA PARA CONFECÇÃO DE VIGAS LONGITUDINAIS E GUARDA-RODAS (VIGAS PRÉ-MOLDADAS TEM COMPOSIÇÃO PRÓPRIA)</t>
  </si>
  <si>
    <t>6.4</t>
  </si>
  <si>
    <t xml:space="preserve"> SOMATORIO DO PESO DO AÇO DE 12,5mm DOS BLOCOS, EM KG</t>
  </si>
  <si>
    <t xml:space="preserve">0,395kg x 495,32m </t>
  </si>
  <si>
    <t xml:space="preserve"> SOMATORIO DO PESO DO AÇO DE 8,0mm DOS BLOCOS, EM KG</t>
  </si>
  <si>
    <t>6.1</t>
  </si>
  <si>
    <t xml:space="preserve"> SOMATORIO FORMAS EM M2 DA CORTINA COM PILARES</t>
  </si>
  <si>
    <t xml:space="preserve"> FORMAS EM MADEIRITE DESTINADO AS PEÇAS DE CORTINAS DE CONCRETO </t>
  </si>
  <si>
    <t>5.5</t>
  </si>
  <si>
    <t xml:space="preserve"> AÇO DESTINADO AS PEÇAS EST. CORTINAS DE CONCRETO E PILARES</t>
  </si>
  <si>
    <t>5.1</t>
  </si>
  <si>
    <t xml:space="preserve"> SOMATORIO DAS FORMAS DOS BLOCOS EM M2 </t>
  </si>
  <si>
    <t xml:space="preserve">FORMAS EM MADEIRITE DESTINADO AS PEÇAS DO BLOCO DE CONCRETO </t>
  </si>
  <si>
    <t>4.8</t>
  </si>
  <si>
    <t xml:space="preserve"> AÇO DESTINADO AOS BLOCOS DE FUNDAÇÃO</t>
  </si>
  <si>
    <t xml:space="preserve"> SOMATORIO DO PESO DO AÇO DE 6,3mm DOS BLOCOS, EM KG</t>
  </si>
  <si>
    <t>VOLUME EM M³ DOS BLOCOS</t>
  </si>
  <si>
    <t>LADO1XLADO2XALTURAXUNIDADES</t>
  </si>
  <si>
    <t>COMPRIMENTO X UNIDADES</t>
  </si>
  <si>
    <t>ESCAVAÇÃO E CONCRETAGEM DE FUNDAÇÃO PROFUNDA, AO QUAL JUNTAMENTE COM O BLOCO SERÁ RESPONSÁVEL POR ABSORVER OS ESFORÇOS DE TODA ESTRUTURA E TRANSMITIR OS MESMOS PARA O SOLO</t>
  </si>
  <si>
    <t>ESCAVAÇÃO MANUAL DO TERRENO PARA IMPLANTAÇAO DOS BLOCOS DE FUNDAÇÃO DAS ESTACAS</t>
  </si>
  <si>
    <t>5*22*3</t>
  </si>
  <si>
    <t xml:space="preserve"> H TRABALHADAS POR DIA X DIA X MÊS </t>
  </si>
  <si>
    <t>FORNECIMENTO DE ENERGIA PARA O CANTEIRO DE OBRAS EM HORÁRIO INTEGRAL</t>
  </si>
  <si>
    <t>Grupo gerador - 36/40 Kva</t>
  </si>
  <si>
    <t xml:space="preserve"> CAMINHÃO MUNCK CAP ATE 20T, PARA TOTAL MOVIMENTAÇÃO DE EQUIPAMENTOS E MATERIAIS DE MÉDIO E GRANDE PORTE DENTRO DO CANTEIRO DE OBRAS. </t>
  </si>
  <si>
    <t xml:space="preserve"> Caminhão carroceria com guindauto com capacidade de 20 t.m - 136 Kw</t>
  </si>
  <si>
    <t xml:space="preserve"> PROFISSIONAL LIDER DA TURMA DE TRABALHO E ESSENCIAL PARA COORDENAÇÃO DE TODAS AS ETAPAS CONSTRUTIVAS DE OAE. </t>
  </si>
  <si>
    <t>1*22*3</t>
  </si>
  <si>
    <t xml:space="preserve"> RESPONSAVEL TÉCNICO ESSENCIAL PARA EXECUÇÃO DE OAE EM TODAS AS ATIVIDADES. </t>
  </si>
  <si>
    <t>2,40X1,20</t>
  </si>
  <si>
    <t xml:space="preserve"> AREA TOTAL </t>
  </si>
  <si>
    <t>INFORMAÇÕES AO PÚBLICO SOBRE A OBRA</t>
  </si>
  <si>
    <t xml:space="preserve"> PLACA DE OBRA</t>
  </si>
  <si>
    <t>MEMÓRIA DE CÁLCULO</t>
  </si>
  <si>
    <t>[0,60mx0,60mx0,40mx4,0(und)= 0,576m³] + [1,40mx1,40mx0,80mx4,0(und)= 6,27m³]</t>
  </si>
  <si>
    <t>14mx20(und)</t>
  </si>
  <si>
    <t xml:space="preserve">0,245kg x 1961,0m </t>
  </si>
  <si>
    <t xml:space="preserve">3,853kg x 267,2m </t>
  </si>
  <si>
    <t>0,963kg x 1120,0m</t>
  </si>
  <si>
    <t xml:space="preserve">0,963kg x 44,80m </t>
  </si>
  <si>
    <t>ARMAÇÃO DE ESTRUTURAS DIVERSAS DE CONCRETO ARMADO, EXCETO VIGAS, PILAR
ES, LAJES E FUNDAÇÕES, UTILIZANDO AÇO CA-50 DE 16,0 MM - MONTAGEM. AF_
06/2022</t>
  </si>
  <si>
    <t xml:space="preserve"> SOMATORIO DO PESO DO AÇO DE 8,0mm DAS CORTINAS E PILARES, EM KG</t>
  </si>
  <si>
    <t xml:space="preserve"> SOMATORIO DO PESO DO AÇO DE 10,0mm DAS CORTINAS E PILARES, EM KG</t>
  </si>
  <si>
    <t xml:space="preserve"> SOMATORIO DO PESO DO AÇO DE 12,5mm DAS CORTINAS E PILARES, EM KG</t>
  </si>
  <si>
    <t xml:space="preserve"> SOMATORIO DO PESO DO AÇO DE 16,0mm DAS CORTINAS E PILARES, EM KG</t>
  </si>
  <si>
    <t>1,578kg x 246,40m</t>
  </si>
  <si>
    <t xml:space="preserve"> SOMATORIO DO PESO DO AÇO DE 16,00mm DOS BLOCOS, EM KG</t>
  </si>
  <si>
    <t>1,578kg x 84,00m</t>
  </si>
  <si>
    <t>0,395kg x 218,63m</t>
  </si>
  <si>
    <t xml:space="preserve">0,395kg x 1032,35m </t>
  </si>
  <si>
    <t xml:space="preserve">0,617kg x 1134,52m </t>
  </si>
  <si>
    <t xml:space="preserve"> VOLUME EM M³ CORTINAS + COLETOR DA CORTINA</t>
  </si>
  <si>
    <t>[(4,20m x 3,5m x 0,40m= 5,88m³) +[ (B+b)h/2= (3,5+3,00) x 3,50/2 = 11,37m² x 0,40m (esp.) = 4,55m³ x 2(und)= 9,10m³] então 5,88m³ + 9,10m³ = 14,98m³ x 2,0= 29,96m³](cortinas) + [(0,4x0,3x11,20)x2(und)= 2,69] (coletor cortinas) então 29,96m³ + 2,69m³</t>
  </si>
  <si>
    <t>[(0,60m+0,60m+0,60m+0,60m) x 0,40(alt.)= 0,96m² x 4,0(und)= 3,84m²] + [(1,40m+1,40m+1,40m+1,40m) x 0,80(alt.)= 4,48m² x 4,0(und)= 17,92m²]</t>
  </si>
  <si>
    <t>(4,20m x 3,5m= 14,70m²) +[ (B+b)h/2= (3,50+3,00) x 3,50/2 = 11,37m² x 2,0 (und)= 22,75m²] então 14,70m² + 22,75m²= 37,45m² x 4,0 (lados) = 149,80m² +4,80m(área da espessura das formas)²</t>
  </si>
  <si>
    <t xml:space="preserve"> APLICAÇÃO DAS FORMAS EM MAD RES DESTINADO AS PEÇAS EST. DA SUPER ESTRUTURA SENDO, LONGARINAS, VIGAS E GUARDA RODAS. (EXCETO LAJE PREMOLDADA CLASSE 45) </t>
  </si>
  <si>
    <t xml:space="preserve"> SOMATORIO FORMAS LONGARINAS, VIGAS E GUARDA-RODAS</t>
  </si>
  <si>
    <t>3,20m x 50,40m</t>
  </si>
  <si>
    <t xml:space="preserve">[(1,00m + 0,30m + 1,00m)x12]= 27,60m²x2(und)=55,20m² +[(0,4m+0,15m+0,40m)x3]=2,85m² + [(0,30m+0,30m+0,30m)x3]=2,70m²x2(und)=5,40m²+[(0,40m+0,40m)x12]=9,60m²x2(und)=19,20m² então </t>
  </si>
  <si>
    <t>M3XKM</t>
  </si>
  <si>
    <t>TXKM</t>
  </si>
  <si>
    <t xml:space="preserve"> TRANSPORTE COMERCIAL EM CAMINHÃO BASC DE AGREGADOS MIUDO ATÉ A JAZIDA DE AREIA</t>
  </si>
  <si>
    <t>VOL DE CONCRETO X CONSUMO DE AREIA X DKM: 70,20M³(CONCRETO)X 0,65 X 228KM</t>
  </si>
  <si>
    <t>VOL DE CONCRETO X CONSUMO DE BRITA X DKM: 70,20M³(CONCRETO)X 0,65 X 89,6KM</t>
  </si>
  <si>
    <t xml:space="preserve"> TRANSPORTE COMERCIAL EM CAMINHÃO BASC DE AGREGADOS MIUDO ATÉ A JAZIDA DE BRITA</t>
  </si>
  <si>
    <t>VOL. CONCRETO x M³ BRITA x DKM</t>
  </si>
  <si>
    <t>VOL. CONCRETO x M³ AREIA x DKM</t>
  </si>
  <si>
    <t>TON. DE CIMENTO X DKM</t>
  </si>
  <si>
    <t>TON DE AÇO X DKM</t>
  </si>
  <si>
    <t>TONELADA DO AÇO X DKM: 4,62 X 116,4KM</t>
  </si>
  <si>
    <t>TONELADA DO CIMENTO X DKM: 21,93 X 330KM</t>
  </si>
  <si>
    <t>FORNECIMENTO E INSTALAÇÃO DE PLACA DE OBRA COM CHAPA GALVANIZADA E ESTRUTURA DE MADEIRA. AF_03/2022_PS</t>
  </si>
  <si>
    <t>TRANSPORTE COM CAMINHÃO CARROCERIA COM GUINDAUTO (MUNCK), MOMENTO MÁXIMO DE CARGA 11,7 TM, EM VIA URBANA EM REVESTIMENTO PRIMÁRIO (UNIDADE: TXKM). AF_07/2020 (MOBILIZAÇÃO DE EQUIPAMENTOS ATÉ O LOCAL DA OBRA)</t>
  </si>
  <si>
    <t>TONELADA X DISTÂNCIA EM KM X DIAS</t>
  </si>
  <si>
    <t>TRANSPORTE COM CAMINHÃO CARROCERIA COM GUINDAUTO (MUNCK), MOMENTO MÁXIMO DE CARGA 11,7 TM, EM VIA URBANA EM REVESTIMENTO PRIMÁRIO (UNIDADE: TXKM). AF_07/2020(DESMOBILIZAÇÃO DE EQUIPAMENTOS ATÉ O LOCAL DA OBRA)</t>
  </si>
  <si>
    <t>Caminhão guindauto com capacidade de elevação de 6,2 t e carroceria
de 7 t - 136 kW</t>
  </si>
  <si>
    <t>Grupo gerador - 40 kVA</t>
  </si>
  <si>
    <t>ESCAVAÇÃO MANUAL DE VALA. AF_09/2024</t>
  </si>
  <si>
    <t>LANÇAMENTO COM USO DE BALDES, ADENSAMENTO E ACABAMENTO DE CONCRETO EM ESTRUTURAS.
AF_02/2022</t>
  </si>
  <si>
    <t>ARMAÇÃO DE ESTRUTURAS DIVERSAS DE CONCRETO ARMADO, EXCETO VIGAS, PILARES, LAJES E FUNDAÇÕES,
UTILIZANDO AÇO CA-50 DE 6,3 MM - MONTAGEM. AF_06/2022</t>
  </si>
  <si>
    <t>ARMAÇÃO DE ESTRUTURAS DIVERSAS DE CONCRETO ARMADO, EXCETO VIGAS, PILARES, LAJES E FUNDAÇÕES,
UTILIZANDO AÇO CA-50 DE 8,0 MM - MONTAGEM. AF_06/2022</t>
  </si>
  <si>
    <t>ARMAÇÃO DE ESTRUTURAS DIVERSAS DE CONCRETO ARMADO, EXCETO VIGAS, PILARES, LAJES E FUNDAÇÕES,
UTILIZANDO AÇO CA-50 DE 12,5 MM - MONTAGEM. AF_06/2022</t>
  </si>
  <si>
    <t>ARMAÇÃO DE ESTRUTURAS DIVERSAS DE CONCRETO ARMADO, EXCETO VIGAS, PILARES, LAJES E FUNDAÇÕES,
UTILIZANDO AÇO CA-50 DE 16,0 MM - MONTAGEM. AF_06/2022</t>
  </si>
  <si>
    <t>ARMAÇÃO DE ESTRUTURAS DIVERSAS DE CONCRETO ARMADO, EXCETO VIGAS, PILARES, LAJES E FUNDAÇÕES, UTILIZANDO AÇO CA-50 DE 8,0 MM - MONTAGEM. AF_06/2022</t>
  </si>
  <si>
    <t>ARMAÇÃO DE ESTRUTURAS DIVERSAS DE CONCRETO ARMADO, EXCETO VIGAS, PILARES, LAJES E FUNDAÇÕES, UTILIZANDO AÇO CA-50 DE 10,0 MM - MONTAGEM. AF_06/2022</t>
  </si>
  <si>
    <t>ARMAÇÃO DE ESTRUTURAS DIVERSAS DE CONCRETO ARMADO, EXCETO VIGAS, PILARES, LAJES E FUNDAÇÕES, UTILIZANDO AÇO CA-50 DE 12,5 MM - MONTAGEM. AF_06/2022</t>
  </si>
  <si>
    <t>LANÇAMENTO COM USO DE BALDES, ADENSAMENTO E ACABAMENTO DE CONCRETO EM ESTRUTURAS. AF_02/2022</t>
  </si>
  <si>
    <t>ARMAÇÃO DE ESTRUTURAS DIVERSAS DE CONCRETO ARMADO, EXCETO VIGAS, PILARES, LAJES E FUNDAÇÕES, UTILIZANDO AÇO CA-50 DE 25,0 MM - MONTAGEM. AF_06/2022</t>
  </si>
  <si>
    <t>7.4</t>
  </si>
  <si>
    <t>Estaca raiz perfurada no solo com D = 16 cm - confecção</t>
  </si>
  <si>
    <t>7.5</t>
  </si>
  <si>
    <t>SICRO 04-2025 / SEINFRA 04-2025</t>
  </si>
  <si>
    <t>FORNECIMENTO E INSTALAÇÃO DE PLACA DE SINALIZAÇÃO EM CHAPA DE ALUMÍNIO EM SUPORTE METÁLICO.
AF_03/2022</t>
  </si>
  <si>
    <t>FORNECIMENTO E INSTALAÇÃO DE SUPORTE METÁLICO GALVANIZADO PARA PLACAS DE SINALIZAÇÃO EM SOLO,
COM H= DE 2,5 M E DIÂMETRO DE 2''. AF_03/2022</t>
  </si>
  <si>
    <t>2*22*3</t>
  </si>
  <si>
    <t>BDI 22,58%</t>
  </si>
  <si>
    <t>Engenheiro Civil Responsável Técnico pela elaboração da planilha: RODRIGO IURY PENA DE MOURA</t>
  </si>
  <si>
    <t>221.401/D</t>
  </si>
  <si>
    <t>RODRIGO IURY PENA DE MOURA</t>
  </si>
  <si>
    <t>ENG. CIVIL - CREA MG 221.401/D</t>
  </si>
  <si>
    <t>ENG° RODRIGO IURY PENA DE MOURA CREA/MG 221.401</t>
  </si>
  <si>
    <t xml:space="preserve"> TRANSPORTE DE EQUIPAMENTOS DESTINADOS A MOBILIZAÇÃO E A APLICAÇÃO NA EXECUÇÃO DA OBRA E FERRAMENTAS DE TRABALHO ESSENCIAIS PARA O DESENVOLVIMENTO DE TODAS AS ETAPAS CONSTRUTIVAS: 1. Perfuratriz para estaca raiz (média/leve):
Peso médio: 2.000 a 3.000 kg (2 a 3 toneladas), vamos adotar 3 t (com acessórios);
2. Gerador de energia (diesel, 60–100 kVA):
Peso médio: 800 a 1.200 kg, vamos adotar 1 t;
3. Ferramentas gerais de pedreiro (em pallet, betoneira pequena, caixa de ferramentas, andaimes): Estimativa total: 1,5 t).</t>
  </si>
  <si>
    <t xml:space="preserve"> TRANSPORTE DE EQUIPAMENTOS DESTINADOS A DESMOBILIZAÇÃO E A APLICAÇÃO NA EXECUÇÃO DA OBRA E FERRAMENTAS DE TRABALHO ESSENCIAIS PARA O DESENVOLVIMENTO DE TODAS AS ETAPAS CONSTRUTIVAS: 1. Perfuratriz para estaca raiz (média/leve):
Peso médio: 2.000 a 3.000 kg (2 a 3 toneladas), vamos adotar 3 t (com acessórios);
2. Gerador de energia (diesel, 60–100 kVA):
Peso médio: 800 a 1.200 kg, vamos adotar 1 t;
3. Ferramentas gerais de pedreiro (em pallet, betoneira pequena, caixa de ferramentas, andaimes): Estimativa total: 1,5 t.</t>
  </si>
  <si>
    <t>5,5*2,4*60</t>
  </si>
  <si>
    <t>1*22*1</t>
  </si>
  <si>
    <t>Estaca raiz perfurada no solo com D = 25 cm - confecção</t>
  </si>
  <si>
    <t>SINAPI 07-2025</t>
  </si>
  <si>
    <t>GUARDA-CORPO DE AÇO GALVANIZADO DE 1,10M, MONTANTES TUBULARES DE 1.1/4" ESPAÇADOS DE 1,20M,
TRAVESSA SUPERIOR DE 1.1/2", GRADIL FORMADO POR TUBOS HORIZONTAIS DE 1" E VERTICAIS DE 3/4", FIXADO
COM CHUMBADOR MECÂNICO. AF_04/2019_PS</t>
  </si>
  <si>
    <t>7.6</t>
  </si>
  <si>
    <t>(4,20m x 12,00m) + (1,00m x 12,00m)</t>
  </si>
  <si>
    <t>ÁREA DE LAJE DA PISTA DE ROLAMENTO E PASSARELA DE PEDESTRES</t>
  </si>
  <si>
    <t>COMP. x LARGURA (ÁREA DA PISTA DE ROLAMENTO E PASSARELA)</t>
  </si>
  <si>
    <t>(4,20m x 8,0m) + (1,00m X 12,00m)</t>
  </si>
  <si>
    <t xml:space="preserve"> COMP DA PONTE / ESPAÇAMENTO DE 5,0M XQUANT. LATERAIS </t>
  </si>
  <si>
    <t>(12,00/5,0)*2</t>
  </si>
  <si>
    <t>COMP. DA PONTE DE UM LADO</t>
  </si>
  <si>
    <t>(5,20m x 12,00m) + [(1,3m x 12,0m x 2(und)]+ [(0,40+0,15+0,40)x(12)x2(und)]</t>
  </si>
  <si>
    <t>SUPORTE METÁLICO PARA INSTALAÇÃO DAS PLACAS DE SINALIZAÇÃO</t>
  </si>
  <si>
    <t>PLACA EM CHAPA DE ALUMÍNIO PARA FABRICAÇÃO DAS PLACAS DE SINALIZAÇÃO</t>
  </si>
  <si>
    <t>GUARDA-CORPO EM UMA DAS LATERAIS DA PONTE PARA SERVIR DE DELIMITAÇÃO LIMITE PARA A PASSARELA DE PEDESTRES</t>
  </si>
  <si>
    <t>ÁREA QUADRADA DAS PLACAS</t>
  </si>
  <si>
    <t>COMPRIMENTO LINEAR DOS POSTES</t>
  </si>
  <si>
    <t>(12X1)</t>
  </si>
  <si>
    <t>(0,29X2)</t>
  </si>
  <si>
    <t>(2X1)</t>
  </si>
  <si>
    <t>(0,617kg x 132,38m)+(0,617KG x 336)</t>
  </si>
  <si>
    <r>
      <t xml:space="preserve">OBRA: </t>
    </r>
    <r>
      <rPr>
        <sz val="11"/>
        <color theme="1"/>
        <rFont val="Calibri"/>
        <family val="2"/>
        <scheme val="minor"/>
      </rPr>
      <t>Construção de uma Ponte de Concreto Armado (Classe 45T de 12x5,20m)</t>
    </r>
  </si>
  <si>
    <t>Laje Pré-moldada Classe 45T (H16)</t>
  </si>
  <si>
    <t xml:space="preserve">LANÇAMENTO COM BALDES DO CONCRETO FCK 30 MPA DESTINADO AS PEÇAS EST. CORTINAS E PILARES DE CONCRETO </t>
  </si>
  <si>
    <t xml:space="preserve"> CONCRETO FCK 30 MPA DESTINADO AS PEÇAS EST. CORTINAS DE CONCRETO E PILARES</t>
  </si>
  <si>
    <t>CONCRETO FCK 30 MPA DESTINADO AOS BLOCOS</t>
  </si>
  <si>
    <t>LANÇAMENTO COM BALDES DO CONCRETO FCK 30 MPA DESTINADO AOS BLOCOS DE CONCRETO</t>
  </si>
  <si>
    <t>CONCRETO FCK = 30MPA, TRAÇO 1:2,1:2,5 (EM MASSA SECA DE CIMENTO/ AREIA MÉDIA/ BRITA 1) - PREPARO
MECÂNICO COM BETONEIRA 400 L. AF_05/2021</t>
  </si>
  <si>
    <t xml:space="preserve"> SOMATORIO DO PESO DO AÇO DE 8,0mm DAS VIGAS, EM KG</t>
  </si>
  <si>
    <t xml:space="preserve"> SOMATORIO DO PESO DO AÇO DE 10,0mm DAS VIGAS + O PESO DA BARRAS NEGATIVAS DE 10MM DA PASSARELA , EM KG</t>
  </si>
  <si>
    <t xml:space="preserve"> SOMATORIO DO PESO DO AÇO DE 25,0mm DAS VIGAS, EM KG</t>
  </si>
  <si>
    <t>CONCRETO 30MPA NECESSÁRIA PARA EXECUÇÃO DAS VIGAS LONGITUDINAIS, TRANSVERSAIS E GUARDA-RODAS (VIGAS PRÉ-MOLDADAS TEM COMPOSIÇÃO PRÓPRIA)</t>
  </si>
  <si>
    <t>[0,30m x 0,60m x 8,00m x 2(und)= 2,88m³] + [0,125m x 0,40m x 8,0m x 2(und)=  0,80m²] + [0,15mx0,40mx3,00m + 0,30mx0,30mx3,0mx2und) então 2,88m³ + 0,80m³ + 0,72m³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</si>
</sst>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"/>
    <numFmt numFmtId="166" formatCode="#,##0.00_ ;\-#,##0.00\ "/>
    <numFmt numFmtId="167" formatCode="_(&quot;$&quot;* #,##0_);_(&quot;$&quot;* \(#,##0\);_(&quot;$&quot;* &quot;-&quot;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9"/>
      <color indexed="9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sz val="8"/>
      <color indexed="9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5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4" fontId="1" fillId="2" borderId="6" xfId="0" applyNumberFormat="1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4" fontId="1" fillId="0" borderId="14" xfId="0" applyNumberFormat="1" applyFont="1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5" xfId="0" applyBorder="1"/>
    <xf numFmtId="0" fontId="0" fillId="0" borderId="27" xfId="0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164" fontId="0" fillId="0" borderId="1" xfId="2" applyNumberFormat="1" applyFont="1" applyBorder="1" applyAlignment="1"/>
    <xf numFmtId="10" fontId="0" fillId="0" borderId="1" xfId="0" applyNumberFormat="1" applyBorder="1"/>
    <xf numFmtId="9" fontId="0" fillId="0" borderId="1" xfId="3" applyFont="1" applyBorder="1"/>
    <xf numFmtId="0" fontId="0" fillId="0" borderId="5" xfId="0" applyBorder="1"/>
    <xf numFmtId="9" fontId="0" fillId="0" borderId="6" xfId="3" applyFont="1" applyBorder="1" applyAlignment="1"/>
    <xf numFmtId="164" fontId="0" fillId="0" borderId="8" xfId="0" applyNumberFormat="1" applyBorder="1"/>
    <xf numFmtId="10" fontId="0" fillId="0" borderId="8" xfId="0" applyNumberFormat="1" applyBorder="1"/>
    <xf numFmtId="10" fontId="0" fillId="0" borderId="9" xfId="0" applyNumberForma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3" xfId="0" applyFont="1" applyBorder="1"/>
    <xf numFmtId="0" fontId="1" fillId="3" borderId="1" xfId="0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9" fontId="0" fillId="3" borderId="1" xfId="3" applyFont="1" applyFill="1" applyBorder="1" applyAlignment="1">
      <alignment horizontal="center"/>
    </xf>
    <xf numFmtId="9" fontId="0" fillId="3" borderId="1" xfId="1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165" fontId="0" fillId="0" borderId="1" xfId="0" applyNumberForma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4" fontId="1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29" xfId="0" applyFont="1" applyBorder="1" applyAlignment="1">
      <alignment horizontal="left"/>
    </xf>
    <xf numFmtId="0" fontId="0" fillId="0" borderId="0" xfId="0" applyBorder="1"/>
    <xf numFmtId="0" fontId="0" fillId="0" borderId="20" xfId="0" applyBorder="1"/>
    <xf numFmtId="0" fontId="0" fillId="0" borderId="0" xfId="0" applyBorder="1" applyAlignment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24" xfId="0" applyBorder="1" applyAlignment="1"/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0" xfId="4" applyFont="1" applyFill="1" applyProtection="1"/>
    <xf numFmtId="0" fontId="12" fillId="0" borderId="0" xfId="4" applyFont="1" applyFill="1" applyProtection="1"/>
    <xf numFmtId="0" fontId="11" fillId="0" borderId="0" xfId="4" applyProtection="1"/>
    <xf numFmtId="0" fontId="12" fillId="0" borderId="0" xfId="4" applyFont="1" applyProtection="1"/>
    <xf numFmtId="0" fontId="11" fillId="0" borderId="0" xfId="4"/>
    <xf numFmtId="0" fontId="11" fillId="0" borderId="0" xfId="4" applyFont="1" applyProtection="1"/>
    <xf numFmtId="43" fontId="17" fillId="0" borderId="0" xfId="5" applyNumberFormat="1" applyFont="1" applyFill="1" applyBorder="1" applyAlignment="1" applyProtection="1">
      <alignment horizontal="center" vertical="center" wrapText="1"/>
    </xf>
    <xf numFmtId="0" fontId="13" fillId="0" borderId="0" xfId="4" applyFont="1" applyFill="1" applyBorder="1" applyAlignment="1" applyProtection="1">
      <alignment vertical="center" wrapText="1"/>
    </xf>
    <xf numFmtId="0" fontId="11" fillId="0" borderId="57" xfId="4" applyFont="1" applyFill="1" applyBorder="1" applyProtection="1"/>
    <xf numFmtId="0" fontId="11" fillId="0" borderId="53" xfId="4" applyFont="1" applyFill="1" applyBorder="1" applyProtection="1"/>
    <xf numFmtId="0" fontId="11" fillId="0" borderId="54" xfId="4" applyFont="1" applyFill="1" applyBorder="1" applyProtection="1"/>
    <xf numFmtId="0" fontId="12" fillId="0" borderId="0" xfId="4" applyFont="1" applyBorder="1" applyAlignment="1" applyProtection="1"/>
    <xf numFmtId="43" fontId="17" fillId="0" borderId="24" xfId="5" applyNumberFormat="1" applyFont="1" applyFill="1" applyBorder="1" applyAlignment="1" applyProtection="1">
      <alignment horizontal="center" vertical="center" wrapText="1"/>
    </xf>
    <xf numFmtId="0" fontId="23" fillId="0" borderId="0" xfId="4" applyFont="1" applyFill="1" applyAlignment="1" applyProtection="1"/>
    <xf numFmtId="0" fontId="27" fillId="0" borderId="0" xfId="4" applyFont="1" applyFill="1" applyAlignment="1" applyProtection="1"/>
    <xf numFmtId="0" fontId="12" fillId="0" borderId="0" xfId="4" applyFont="1" applyFill="1" applyAlignment="1" applyProtection="1"/>
    <xf numFmtId="0" fontId="11" fillId="0" borderId="29" xfId="4" applyFont="1" applyFill="1" applyBorder="1" applyAlignment="1" applyProtection="1">
      <alignment horizontal="left"/>
    </xf>
    <xf numFmtId="0" fontId="11" fillId="0" borderId="16" xfId="4" applyFont="1" applyFill="1" applyBorder="1" applyAlignment="1" applyProtection="1">
      <alignment horizontal="left"/>
    </xf>
    <xf numFmtId="0" fontId="11" fillId="6" borderId="16" xfId="4" applyFont="1" applyFill="1" applyBorder="1" applyAlignment="1" applyProtection="1">
      <alignment horizontal="left"/>
    </xf>
    <xf numFmtId="0" fontId="11" fillId="6" borderId="78" xfId="4" applyFont="1" applyFill="1" applyBorder="1" applyAlignment="1" applyProtection="1">
      <alignment horizontal="left"/>
    </xf>
    <xf numFmtId="0" fontId="11" fillId="0" borderId="79" xfId="4" applyFont="1" applyFill="1" applyBorder="1" applyAlignment="1" applyProtection="1">
      <alignment horizontal="left"/>
    </xf>
    <xf numFmtId="0" fontId="11" fillId="0" borderId="67" xfId="4" applyFont="1" applyFill="1" applyBorder="1" applyAlignment="1" applyProtection="1">
      <alignment horizontal="left"/>
    </xf>
    <xf numFmtId="0" fontId="11" fillId="6" borderId="67" xfId="4" applyFont="1" applyFill="1" applyBorder="1" applyAlignment="1" applyProtection="1">
      <alignment horizontal="left"/>
    </xf>
    <xf numFmtId="0" fontId="11" fillId="6" borderId="80" xfId="4" applyFont="1" applyFill="1" applyBorder="1" applyAlignment="1" applyProtection="1">
      <alignment horizontal="left"/>
    </xf>
    <xf numFmtId="0" fontId="1" fillId="0" borderId="0" xfId="0" applyFont="1" applyBorder="1" applyAlignment="1"/>
    <xf numFmtId="10" fontId="0" fillId="0" borderId="0" xfId="0" applyNumberFormat="1" applyBorder="1" applyAlignment="1">
      <alignment vertical="center"/>
    </xf>
    <xf numFmtId="0" fontId="0" fillId="0" borderId="9" xfId="0" applyBorder="1"/>
    <xf numFmtId="0" fontId="0" fillId="0" borderId="8" xfId="0" applyBorder="1"/>
    <xf numFmtId="0" fontId="0" fillId="0" borderId="82" xfId="0" applyBorder="1"/>
    <xf numFmtId="0" fontId="0" fillId="0" borderId="1" xfId="0" applyBorder="1" applyAlignment="1">
      <alignment vertical="center"/>
    </xf>
    <xf numFmtId="43" fontId="0" fillId="0" borderId="87" xfId="1" applyFont="1" applyBorder="1" applyAlignment="1">
      <alignment horizontal="left" vertical="center" wrapText="1" shrinkToFit="1"/>
    </xf>
    <xf numFmtId="0" fontId="29" fillId="0" borderId="35" xfId="0" applyFont="1" applyBorder="1" applyAlignment="1">
      <alignment vertical="center" wrapText="1"/>
    </xf>
    <xf numFmtId="4" fontId="0" fillId="0" borderId="6" xfId="0" applyNumberFormat="1" applyBorder="1"/>
    <xf numFmtId="43" fontId="0" fillId="0" borderId="28" xfId="1" applyFont="1" applyBorder="1" applyAlignment="1">
      <alignment horizontal="left" vertical="distributed" wrapText="1" shrinkToFit="1"/>
    </xf>
    <xf numFmtId="0" fontId="29" fillId="0" borderId="35" xfId="0" applyFont="1" applyBorder="1" applyAlignment="1">
      <alignment wrapText="1"/>
    </xf>
    <xf numFmtId="0" fontId="29" fillId="0" borderId="1" xfId="0" applyFont="1" applyBorder="1"/>
    <xf numFmtId="4" fontId="0" fillId="0" borderId="4" xfId="0" applyNumberFormat="1" applyBorder="1"/>
    <xf numFmtId="0" fontId="0" fillId="0" borderId="28" xfId="0" applyBorder="1"/>
    <xf numFmtId="43" fontId="0" fillId="0" borderId="3" xfId="1" applyFont="1" applyBorder="1" applyAlignment="1">
      <alignment horizontal="left" vertical="center" wrapText="1" shrinkToFit="1"/>
    </xf>
    <xf numFmtId="0" fontId="0" fillId="0" borderId="89" xfId="0" applyBorder="1" applyAlignment="1">
      <alignment horizontal="center"/>
    </xf>
    <xf numFmtId="0" fontId="30" fillId="0" borderId="83" xfId="0" applyFont="1" applyBorder="1" applyAlignment="1">
      <alignment horizontal="center"/>
    </xf>
    <xf numFmtId="0" fontId="0" fillId="7" borderId="25" xfId="0" applyFill="1" applyBorder="1"/>
    <xf numFmtId="0" fontId="0" fillId="7" borderId="15" xfId="0" applyFill="1" applyBorder="1"/>
    <xf numFmtId="0" fontId="0" fillId="7" borderId="24" xfId="0" applyFill="1" applyBorder="1"/>
    <xf numFmtId="0" fontId="0" fillId="7" borderId="20" xfId="0" applyFill="1" applyBorder="1"/>
    <xf numFmtId="0" fontId="0" fillId="7" borderId="19" xfId="0" applyFill="1" applyBorder="1"/>
    <xf numFmtId="43" fontId="0" fillId="0" borderId="1" xfId="1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/>
    </xf>
    <xf numFmtId="43" fontId="5" fillId="0" borderId="1" xfId="1" applyFont="1" applyBorder="1" applyAlignment="1">
      <alignment horizontal="left" vertical="center" wrapText="1" shrinkToFit="1"/>
    </xf>
    <xf numFmtId="43" fontId="0" fillId="0" borderId="1" xfId="1" applyFont="1" applyBorder="1" applyAlignment="1">
      <alignment horizontal="left" vertical="distributed" wrapText="1" shrinkToFit="1"/>
    </xf>
    <xf numFmtId="43" fontId="5" fillId="0" borderId="81" xfId="1" applyFont="1" applyBorder="1" applyAlignment="1">
      <alignment horizontal="left" vertical="distributed" wrapText="1" shrinkToFit="1"/>
    </xf>
    <xf numFmtId="4" fontId="0" fillId="0" borderId="30" xfId="0" applyNumberFormat="1" applyBorder="1"/>
    <xf numFmtId="43" fontId="0" fillId="0" borderId="29" xfId="1" applyFont="1" applyBorder="1" applyAlignment="1">
      <alignment horizontal="left" vertical="center" wrapText="1" shrinkToFit="1"/>
    </xf>
    <xf numFmtId="0" fontId="0" fillId="0" borderId="3" xfId="0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0" fillId="7" borderId="27" xfId="0" applyFill="1" applyBorder="1"/>
    <xf numFmtId="0" fontId="0" fillId="7" borderId="26" xfId="0" applyFill="1" applyBorder="1" applyAlignment="1">
      <alignment horizontal="center"/>
    </xf>
    <xf numFmtId="0" fontId="0" fillId="7" borderId="0" xfId="0" applyFill="1" applyBorder="1"/>
    <xf numFmtId="0" fontId="0" fillId="7" borderId="24" xfId="0" applyFill="1" applyBorder="1" applyAlignment="1">
      <alignment horizontal="center"/>
    </xf>
    <xf numFmtId="43" fontId="0" fillId="8" borderId="1" xfId="1" applyFont="1" applyFill="1" applyBorder="1" applyAlignment="1">
      <alignment horizontal="left" vertical="center" wrapText="1" shrinkToFit="1"/>
    </xf>
    <xf numFmtId="43" fontId="0" fillId="0" borderId="0" xfId="1" applyFont="1" applyBorder="1" applyAlignment="1">
      <alignment horizontal="left" vertical="distributed" wrapText="1" shrinkToFit="1"/>
    </xf>
    <xf numFmtId="0" fontId="29" fillId="0" borderId="17" xfId="0" applyFont="1" applyBorder="1" applyAlignment="1">
      <alignment vertical="distributed" shrinkToFit="1"/>
    </xf>
    <xf numFmtId="0" fontId="29" fillId="0" borderId="35" xfId="0" applyFont="1" applyBorder="1" applyAlignment="1">
      <alignment vertical="center" wrapText="1" shrinkToFit="1"/>
    </xf>
    <xf numFmtId="43" fontId="0" fillId="8" borderId="35" xfId="1" applyFont="1" applyFill="1" applyBorder="1" applyAlignment="1">
      <alignment horizontal="left" vertical="center" wrapText="1" shrinkToFit="1"/>
    </xf>
    <xf numFmtId="43" fontId="5" fillId="8" borderId="1" xfId="1" applyFont="1" applyFill="1" applyBorder="1" applyAlignment="1">
      <alignment horizontal="left" vertical="center" wrapText="1" shrinkToFit="1"/>
    </xf>
    <xf numFmtId="0" fontId="0" fillId="0" borderId="3" xfId="0" applyBorder="1"/>
    <xf numFmtId="43" fontId="0" fillId="0" borderId="3" xfId="1" applyFont="1" applyBorder="1" applyAlignment="1">
      <alignment horizontal="left" vertical="distributed" wrapText="1" shrinkToFit="1"/>
    </xf>
    <xf numFmtId="0" fontId="0" fillId="0" borderId="2" xfId="0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92" xfId="0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43" fontId="0" fillId="0" borderId="1" xfId="1" applyFont="1" applyFill="1" applyBorder="1" applyAlignment="1">
      <alignment horizontal="left" vertical="center" wrapText="1" shrinkToFit="1"/>
    </xf>
    <xf numFmtId="43" fontId="0" fillId="0" borderId="2" xfId="1" applyFont="1" applyBorder="1" applyAlignment="1">
      <alignment horizontal="left" vertical="distributed" wrapText="1" shrinkToFit="1"/>
    </xf>
    <xf numFmtId="0" fontId="0" fillId="0" borderId="94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7" borderId="0" xfId="0" applyFill="1" applyBorder="1" applyAlignment="1">
      <alignment horizontal="center"/>
    </xf>
    <xf numFmtId="43" fontId="0" fillId="8" borderId="1" xfId="1" applyFont="1" applyFill="1" applyBorder="1" applyAlignment="1">
      <alignment horizontal="left" vertical="distributed" wrapText="1" shrinkToFit="1"/>
    </xf>
    <xf numFmtId="0" fontId="0" fillId="0" borderId="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30" fillId="0" borderId="4" xfId="0" applyFont="1" applyBorder="1"/>
    <xf numFmtId="0" fontId="30" fillId="0" borderId="3" xfId="0" applyFont="1" applyBorder="1"/>
    <xf numFmtId="0" fontId="30" fillId="0" borderId="2" xfId="0" applyFont="1" applyBorder="1"/>
    <xf numFmtId="0" fontId="30" fillId="0" borderId="32" xfId="0" applyFont="1" applyBorder="1"/>
    <xf numFmtId="4" fontId="5" fillId="7" borderId="25" xfId="0" applyNumberFormat="1" applyFont="1" applyFill="1" applyBorder="1"/>
    <xf numFmtId="43" fontId="5" fillId="7" borderId="0" xfId="1" applyFont="1" applyFill="1" applyBorder="1" applyAlignment="1">
      <alignment horizontal="left" vertical="distributed" wrapText="1" shrinkToFit="1"/>
    </xf>
    <xf numFmtId="43" fontId="0" fillId="7" borderId="24" xfId="1" applyFont="1" applyFill="1" applyBorder="1" applyAlignment="1">
      <alignment horizontal="center" vertical="distributed" wrapText="1" shrinkToFit="1"/>
    </xf>
    <xf numFmtId="0" fontId="5" fillId="7" borderId="0" xfId="0" applyFont="1" applyFill="1" applyBorder="1"/>
    <xf numFmtId="43" fontId="0" fillId="7" borderId="0" xfId="1" applyFont="1" applyFill="1" applyBorder="1" applyAlignment="1">
      <alignment horizontal="left" vertical="distributed" wrapText="1" shrinkToFit="1"/>
    </xf>
    <xf numFmtId="43" fontId="0" fillId="0" borderId="5" xfId="1" applyFont="1" applyBorder="1" applyAlignment="1">
      <alignment horizontal="center" vertical="center" wrapText="1" shrinkToFit="1"/>
    </xf>
    <xf numFmtId="0" fontId="4" fillId="0" borderId="32" xfId="0" quotePrefix="1" applyFont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0" fillId="0" borderId="95" xfId="0" applyBorder="1" applyAlignment="1">
      <alignment horizontal="center"/>
    </xf>
    <xf numFmtId="43" fontId="5" fillId="0" borderId="1" xfId="1" applyFont="1" applyBorder="1" applyAlignment="1">
      <alignment horizontal="left" vertical="distributed" wrapText="1" shrinkToFit="1"/>
    </xf>
    <xf numFmtId="0" fontId="4" fillId="0" borderId="83" xfId="0" applyFont="1" applyBorder="1" applyAlignment="1">
      <alignment horizontal="center"/>
    </xf>
    <xf numFmtId="4" fontId="5" fillId="0" borderId="34" xfId="0" applyNumberFormat="1" applyFont="1" applyBorder="1"/>
    <xf numFmtId="0" fontId="5" fillId="0" borderId="33" xfId="0" applyFont="1" applyBorder="1"/>
    <xf numFmtId="43" fontId="5" fillId="0" borderId="33" xfId="1" applyFont="1" applyBorder="1" applyAlignment="1">
      <alignment horizontal="left" vertical="distributed" wrapText="1" shrinkToFit="1"/>
    </xf>
    <xf numFmtId="0" fontId="5" fillId="0" borderId="33" xfId="0" applyFont="1" applyBorder="1" applyAlignment="1">
      <alignment horizontal="center"/>
    </xf>
    <xf numFmtId="4" fontId="25" fillId="0" borderId="0" xfId="0" applyNumberFormat="1" applyFont="1"/>
    <xf numFmtId="0" fontId="4" fillId="0" borderId="0" xfId="0" applyFont="1" applyBorder="1" applyAlignment="1">
      <alignment vertical="center"/>
    </xf>
    <xf numFmtId="4" fontId="25" fillId="0" borderId="0" xfId="0" applyNumberFormat="1" applyFont="1" applyBorder="1"/>
    <xf numFmtId="0" fontId="3" fillId="0" borderId="0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3" fontId="0" fillId="0" borderId="35" xfId="1" applyFont="1" applyBorder="1" applyAlignment="1">
      <alignment horizontal="left" vertical="distributed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9" borderId="8" xfId="0" applyFill="1" applyBorder="1" applyAlignment="1">
      <alignment horizontal="center" vertical="center"/>
    </xf>
    <xf numFmtId="4" fontId="5" fillId="9" borderId="6" xfId="0" applyNumberFormat="1" applyFont="1" applyFill="1" applyBorder="1" applyAlignment="1">
      <alignment vertical="center"/>
    </xf>
    <xf numFmtId="4" fontId="0" fillId="9" borderId="6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9" borderId="6" xfId="0" applyNumberFormat="1" applyFill="1" applyBorder="1"/>
    <xf numFmtId="43" fontId="0" fillId="9" borderId="6" xfId="1" applyFont="1" applyFill="1" applyBorder="1" applyAlignment="1">
      <alignment horizontal="right" vertical="center" wrapText="1" shrinkToFit="1"/>
    </xf>
    <xf numFmtId="43" fontId="0" fillId="9" borderId="6" xfId="1" applyFont="1" applyFill="1" applyBorder="1" applyAlignment="1">
      <alignment horizontal="right" vertical="distributed" wrapText="1" shrinkToFit="1"/>
    </xf>
    <xf numFmtId="2" fontId="0" fillId="9" borderId="6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17" xfId="0" applyNumberFormat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vertical="distributed" wrapText="1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1" fillId="0" borderId="3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5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10" fontId="0" fillId="0" borderId="84" xfId="0" applyNumberFormat="1" applyBorder="1" applyAlignment="1">
      <alignment horizontal="center" vertical="center"/>
    </xf>
    <xf numFmtId="10" fontId="0" fillId="0" borderId="85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167" fontId="32" fillId="8" borderId="93" xfId="0" applyNumberFormat="1" applyFont="1" applyFill="1" applyBorder="1" applyAlignment="1">
      <alignment horizontal="center" vertical="center" textRotation="90" wrapText="1"/>
    </xf>
    <xf numFmtId="167" fontId="32" fillId="8" borderId="96" xfId="0" applyNumberFormat="1" applyFont="1" applyFill="1" applyBorder="1" applyAlignment="1">
      <alignment horizontal="center" vertical="center" textRotation="90" wrapText="1"/>
    </xf>
    <xf numFmtId="167" fontId="31" fillId="0" borderId="90" xfId="0" applyNumberFormat="1" applyFont="1" applyBorder="1" applyAlignment="1">
      <alignment horizontal="center" vertical="center" textRotation="90" wrapText="1"/>
    </xf>
    <xf numFmtId="167" fontId="32" fillId="8" borderId="90" xfId="0" applyNumberFormat="1" applyFont="1" applyFill="1" applyBorder="1" applyAlignment="1">
      <alignment horizontal="center" vertical="center" textRotation="90" wrapText="1"/>
    </xf>
    <xf numFmtId="167" fontId="32" fillId="8" borderId="91" xfId="0" applyNumberFormat="1" applyFont="1" applyFill="1" applyBorder="1" applyAlignment="1">
      <alignment horizontal="center" vertical="center" textRotation="90" wrapText="1"/>
    </xf>
    <xf numFmtId="167" fontId="28" fillId="8" borderId="24" xfId="0" applyNumberFormat="1" applyFont="1" applyFill="1" applyBorder="1" applyAlignment="1">
      <alignment horizontal="center" vertical="center" textRotation="90" wrapText="1"/>
    </xf>
    <xf numFmtId="167" fontId="28" fillId="8" borderId="26" xfId="0" applyNumberFormat="1" applyFont="1" applyFill="1" applyBorder="1" applyAlignment="1">
      <alignment horizontal="center" vertical="center" textRotation="90" wrapText="1"/>
    </xf>
    <xf numFmtId="167" fontId="28" fillId="8" borderId="93" xfId="0" applyNumberFormat="1" applyFont="1" applyFill="1" applyBorder="1" applyAlignment="1">
      <alignment horizontal="center" vertical="center" textRotation="90" wrapText="1"/>
    </xf>
    <xf numFmtId="167" fontId="28" fillId="8" borderId="90" xfId="0" applyNumberFormat="1" applyFont="1" applyFill="1" applyBorder="1" applyAlignment="1">
      <alignment horizontal="center" vertical="center" textRotation="90" wrapText="1"/>
    </xf>
    <xf numFmtId="167" fontId="28" fillId="8" borderId="91" xfId="0" applyNumberFormat="1" applyFont="1" applyFill="1" applyBorder="1" applyAlignment="1">
      <alignment horizontal="center" vertical="center" textRotation="90" wrapText="1"/>
    </xf>
    <xf numFmtId="0" fontId="30" fillId="0" borderId="32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67" fontId="28" fillId="0" borderId="88" xfId="0" applyNumberFormat="1" applyFont="1" applyBorder="1" applyAlignment="1">
      <alignment horizontal="center" vertical="center" textRotation="90" wrapText="1"/>
    </xf>
    <xf numFmtId="167" fontId="28" fillId="0" borderId="11" xfId="0" applyNumberFormat="1" applyFont="1" applyBorder="1" applyAlignment="1">
      <alignment horizontal="center" vertical="center" textRotation="90" wrapText="1"/>
    </xf>
    <xf numFmtId="167" fontId="28" fillId="0" borderId="86" xfId="0" applyNumberFormat="1" applyFont="1" applyBorder="1" applyAlignment="1">
      <alignment horizontal="center" vertical="center" textRotation="90" wrapText="1"/>
    </xf>
    <xf numFmtId="167" fontId="28" fillId="8" borderId="23" xfId="0" applyNumberFormat="1" applyFont="1" applyFill="1" applyBorder="1" applyAlignment="1">
      <alignment horizontal="center" vertical="center" textRotation="90" wrapText="1"/>
    </xf>
    <xf numFmtId="0" fontId="30" fillId="0" borderId="34" xfId="0" applyFont="1" applyBorder="1" applyAlignment="1">
      <alignment horizontal="center"/>
    </xf>
    <xf numFmtId="0" fontId="11" fillId="0" borderId="0" xfId="4" applyFont="1" applyFill="1" applyBorder="1" applyAlignment="1" applyProtection="1">
      <alignment horizontal="center"/>
    </xf>
    <xf numFmtId="0" fontId="10" fillId="0" borderId="51" xfId="4" applyFont="1" applyBorder="1" applyAlignment="1" applyProtection="1">
      <alignment horizontal="center"/>
    </xf>
    <xf numFmtId="0" fontId="10" fillId="0" borderId="50" xfId="4" applyFont="1" applyBorder="1" applyAlignment="1" applyProtection="1">
      <alignment horizontal="center"/>
    </xf>
    <xf numFmtId="0" fontId="10" fillId="0" borderId="49" xfId="4" applyFont="1" applyBorder="1" applyAlignment="1" applyProtection="1">
      <alignment horizontal="center"/>
    </xf>
    <xf numFmtId="0" fontId="13" fillId="0" borderId="48" xfId="4" applyFont="1" applyBorder="1" applyAlignment="1" applyProtection="1">
      <alignment horizontal="center"/>
    </xf>
    <xf numFmtId="0" fontId="13" fillId="0" borderId="47" xfId="4" applyFont="1" applyBorder="1" applyAlignment="1" applyProtection="1">
      <alignment horizontal="center"/>
    </xf>
    <xf numFmtId="0" fontId="13" fillId="0" borderId="46" xfId="4" applyFont="1" applyBorder="1" applyAlignment="1" applyProtection="1">
      <alignment horizontal="center"/>
    </xf>
    <xf numFmtId="0" fontId="13" fillId="0" borderId="45" xfId="4" applyFont="1" applyFill="1" applyBorder="1" applyAlignment="1" applyProtection="1">
      <alignment horizontal="center"/>
      <protection locked="0"/>
    </xf>
    <xf numFmtId="0" fontId="13" fillId="0" borderId="44" xfId="4" applyFont="1" applyFill="1" applyBorder="1" applyAlignment="1" applyProtection="1">
      <alignment horizontal="center"/>
      <protection locked="0"/>
    </xf>
    <xf numFmtId="0" fontId="13" fillId="0" borderId="43" xfId="4" applyFont="1" applyFill="1" applyBorder="1" applyAlignment="1" applyProtection="1">
      <alignment horizontal="center"/>
      <protection locked="0"/>
    </xf>
    <xf numFmtId="0" fontId="13" fillId="0" borderId="42" xfId="4" applyFont="1" applyBorder="1" applyAlignment="1" applyProtection="1">
      <alignment horizontal="center"/>
    </xf>
    <xf numFmtId="0" fontId="13" fillId="0" borderId="41" xfId="4" applyFont="1" applyBorder="1" applyAlignment="1" applyProtection="1">
      <alignment horizontal="center"/>
    </xf>
    <xf numFmtId="0" fontId="13" fillId="0" borderId="40" xfId="4" applyFont="1" applyBorder="1" applyAlignment="1" applyProtection="1">
      <alignment horizontal="center"/>
    </xf>
    <xf numFmtId="0" fontId="16" fillId="0" borderId="0" xfId="4" applyFont="1" applyBorder="1" applyAlignment="1" applyProtection="1">
      <alignment horizontal="center" vertical="center" wrapText="1"/>
    </xf>
    <xf numFmtId="0" fontId="15" fillId="0" borderId="0" xfId="4" applyFont="1" applyFill="1" applyBorder="1" applyAlignment="1" applyProtection="1">
      <alignment horizontal="center"/>
    </xf>
    <xf numFmtId="0" fontId="11" fillId="0" borderId="0" xfId="4" applyFont="1" applyBorder="1" applyAlignment="1" applyProtection="1">
      <alignment horizontal="center" vertical="top" wrapText="1"/>
    </xf>
    <xf numFmtId="0" fontId="14" fillId="0" borderId="0" xfId="4" applyFont="1" applyFill="1" applyBorder="1" applyAlignment="1" applyProtection="1">
      <alignment horizontal="center" vertical="center" wrapText="1"/>
    </xf>
    <xf numFmtId="0" fontId="11" fillId="0" borderId="54" xfId="4" applyFill="1" applyBorder="1" applyAlignment="1" applyProtection="1">
      <alignment horizontal="left" vertical="top" wrapText="1"/>
      <protection locked="0"/>
    </xf>
    <xf numFmtId="0" fontId="11" fillId="0" borderId="53" xfId="4" applyFill="1" applyBorder="1" applyAlignment="1" applyProtection="1">
      <alignment horizontal="left" vertical="top" wrapText="1"/>
      <protection locked="0"/>
    </xf>
    <xf numFmtId="0" fontId="11" fillId="0" borderId="57" xfId="4" applyFill="1" applyBorder="1" applyAlignment="1" applyProtection="1">
      <alignment horizontal="left" vertical="top" wrapText="1"/>
      <protection locked="0"/>
    </xf>
    <xf numFmtId="0" fontId="11" fillId="0" borderId="56" xfId="4" applyFont="1" applyFill="1" applyBorder="1" applyAlignment="1" applyProtection="1">
      <alignment horizontal="center" vertical="center"/>
      <protection locked="0"/>
    </xf>
    <xf numFmtId="0" fontId="11" fillId="0" borderId="55" xfId="4" applyFont="1" applyFill="1" applyBorder="1" applyAlignment="1" applyProtection="1">
      <alignment horizontal="center" vertical="center"/>
      <protection locked="0"/>
    </xf>
    <xf numFmtId="0" fontId="13" fillId="0" borderId="54" xfId="4" applyFont="1" applyFill="1" applyBorder="1" applyAlignment="1" applyProtection="1">
      <alignment horizontal="center" vertical="center" wrapText="1"/>
    </xf>
    <xf numFmtId="0" fontId="13" fillId="0" borderId="53" xfId="4" applyFont="1" applyFill="1" applyBorder="1" applyAlignment="1" applyProtection="1">
      <alignment horizontal="center" vertical="center" wrapText="1"/>
    </xf>
    <xf numFmtId="0" fontId="13" fillId="0" borderId="52" xfId="4" applyFont="1" applyFill="1" applyBorder="1" applyAlignment="1" applyProtection="1">
      <alignment horizontal="center" vertical="center" wrapText="1"/>
    </xf>
    <xf numFmtId="14" fontId="10" fillId="0" borderId="44" xfId="4" applyNumberFormat="1" applyFont="1" applyFill="1" applyBorder="1" applyAlignment="1" applyProtection="1">
      <alignment horizontal="center"/>
      <protection locked="0"/>
    </xf>
    <xf numFmtId="14" fontId="10" fillId="0" borderId="43" xfId="4" applyNumberFormat="1" applyFont="1" applyFill="1" applyBorder="1" applyAlignment="1" applyProtection="1">
      <alignment horizontal="center"/>
      <protection locked="0"/>
    </xf>
    <xf numFmtId="0" fontId="19" fillId="4" borderId="35" xfId="4" applyFont="1" applyFill="1" applyBorder="1" applyAlignment="1" applyProtection="1">
      <alignment horizontal="center" vertical="center" wrapText="1"/>
    </xf>
    <xf numFmtId="0" fontId="19" fillId="4" borderId="63" xfId="4" applyFont="1" applyFill="1" applyBorder="1" applyAlignment="1" applyProtection="1">
      <alignment horizontal="center" vertical="center" wrapText="1"/>
    </xf>
    <xf numFmtId="0" fontId="19" fillId="4" borderId="62" xfId="4" applyFont="1" applyFill="1" applyBorder="1" applyAlignment="1" applyProtection="1">
      <alignment horizontal="center" vertical="center" wrapText="1"/>
    </xf>
    <xf numFmtId="166" fontId="19" fillId="4" borderId="32" xfId="5" applyNumberFormat="1" applyFont="1" applyFill="1" applyBorder="1" applyAlignment="1" applyProtection="1">
      <alignment horizontal="center" vertical="center" wrapText="1"/>
    </xf>
    <xf numFmtId="166" fontId="19" fillId="4" borderId="33" xfId="5" applyNumberFormat="1" applyFont="1" applyFill="1" applyBorder="1" applyAlignment="1" applyProtection="1">
      <alignment horizontal="center" vertical="center" wrapText="1"/>
    </xf>
    <xf numFmtId="166" fontId="19" fillId="4" borderId="34" xfId="5" applyNumberFormat="1" applyFont="1" applyFill="1" applyBorder="1" applyAlignment="1" applyProtection="1">
      <alignment horizontal="center" vertical="center" wrapText="1"/>
    </xf>
    <xf numFmtId="0" fontId="13" fillId="4" borderId="61" xfId="4" applyFont="1" applyFill="1" applyBorder="1" applyAlignment="1" applyProtection="1">
      <alignment horizontal="center" vertical="center" wrapText="1"/>
    </xf>
    <xf numFmtId="0" fontId="13" fillId="4" borderId="60" xfId="4" applyFont="1" applyFill="1" applyBorder="1" applyAlignment="1" applyProtection="1">
      <alignment horizontal="center" vertical="center" wrapText="1"/>
    </xf>
    <xf numFmtId="0" fontId="13" fillId="4" borderId="59" xfId="4" applyFont="1" applyFill="1" applyBorder="1" applyAlignment="1" applyProtection="1">
      <alignment horizontal="center" vertical="center" wrapText="1"/>
    </xf>
    <xf numFmtId="0" fontId="13" fillId="4" borderId="58" xfId="4" applyFont="1" applyFill="1" applyBorder="1" applyAlignment="1" applyProtection="1">
      <alignment horizontal="center" vertical="center" wrapText="1"/>
    </xf>
    <xf numFmtId="0" fontId="13" fillId="4" borderId="56" xfId="4" applyFont="1" applyFill="1" applyBorder="1" applyAlignment="1" applyProtection="1">
      <alignment horizontal="center" vertical="center" wrapText="1"/>
    </xf>
    <xf numFmtId="0" fontId="13" fillId="4" borderId="55" xfId="4" applyFont="1" applyFill="1" applyBorder="1" applyAlignment="1" applyProtection="1">
      <alignment horizontal="center" vertical="center" wrapText="1"/>
    </xf>
    <xf numFmtId="0" fontId="13" fillId="0" borderId="42" xfId="4" applyFont="1" applyFill="1" applyBorder="1" applyAlignment="1" applyProtection="1">
      <alignment horizontal="left" vertical="center" wrapText="1"/>
    </xf>
    <xf numFmtId="0" fontId="13" fillId="0" borderId="41" xfId="4" applyFont="1" applyFill="1" applyBorder="1" applyAlignment="1" applyProtection="1">
      <alignment horizontal="left" vertical="center" wrapText="1"/>
    </xf>
    <xf numFmtId="43" fontId="13" fillId="0" borderId="41" xfId="5" applyNumberFormat="1" applyFont="1" applyFill="1" applyBorder="1" applyAlignment="1" applyProtection="1">
      <alignment horizontal="center" vertical="center" wrapText="1"/>
    </xf>
    <xf numFmtId="43" fontId="13" fillId="0" borderId="40" xfId="5" applyNumberFormat="1" applyFont="1" applyFill="1" applyBorder="1" applyAlignment="1" applyProtection="1">
      <alignment horizontal="center" vertical="center" wrapText="1"/>
    </xf>
    <xf numFmtId="43" fontId="13" fillId="0" borderId="42" xfId="5" applyFont="1" applyFill="1" applyBorder="1" applyAlignment="1" applyProtection="1">
      <alignment horizontal="center" vertical="center" wrapText="1"/>
    </xf>
    <xf numFmtId="43" fontId="13" fillId="0" borderId="41" xfId="5" applyFont="1" applyFill="1" applyBorder="1" applyAlignment="1" applyProtection="1">
      <alignment horizontal="center" vertical="center" wrapText="1"/>
    </xf>
    <xf numFmtId="43" fontId="13" fillId="0" borderId="40" xfId="5" applyFont="1" applyFill="1" applyBorder="1" applyAlignment="1" applyProtection="1">
      <alignment horizontal="center" vertical="center" wrapText="1"/>
    </xf>
    <xf numFmtId="0" fontId="21" fillId="0" borderId="68" xfId="4" applyFont="1" applyFill="1" applyBorder="1" applyAlignment="1" applyProtection="1">
      <alignment horizontal="left" vertical="center" wrapText="1"/>
    </xf>
    <xf numFmtId="0" fontId="11" fillId="0" borderId="67" xfId="4" applyFont="1" applyFill="1" applyBorder="1" applyAlignment="1" applyProtection="1">
      <alignment horizontal="left" vertical="center" wrapText="1"/>
    </xf>
    <xf numFmtId="166" fontId="20" fillId="0" borderId="66" xfId="5" applyNumberFormat="1" applyFont="1" applyFill="1" applyBorder="1" applyAlignment="1" applyProtection="1">
      <alignment horizontal="center" vertical="center" wrapText="1"/>
    </xf>
    <xf numFmtId="166" fontId="20" fillId="0" borderId="65" xfId="5" applyNumberFormat="1" applyFont="1" applyFill="1" applyBorder="1" applyAlignment="1" applyProtection="1">
      <alignment horizontal="center" vertical="center" wrapText="1"/>
    </xf>
    <xf numFmtId="166" fontId="20" fillId="0" borderId="64" xfId="5" applyNumberFormat="1" applyFont="1" applyFill="1" applyBorder="1" applyAlignment="1" applyProtection="1">
      <alignment horizontal="center" vertical="center" wrapText="1"/>
    </xf>
    <xf numFmtId="43" fontId="13" fillId="0" borderId="0" xfId="5" applyFont="1" applyFill="1" applyBorder="1" applyAlignment="1" applyProtection="1">
      <alignment horizontal="center" vertical="center" wrapText="1"/>
    </xf>
    <xf numFmtId="0" fontId="21" fillId="0" borderId="72" xfId="4" applyFont="1" applyFill="1" applyBorder="1" applyAlignment="1" applyProtection="1">
      <alignment horizontal="left" vertical="center" wrapText="1"/>
    </xf>
    <xf numFmtId="0" fontId="11" fillId="0" borderId="53" xfId="4" applyFont="1" applyFill="1" applyBorder="1" applyAlignment="1" applyProtection="1">
      <alignment horizontal="left" vertical="center" wrapText="1"/>
    </xf>
    <xf numFmtId="2" fontId="20" fillId="0" borderId="71" xfId="5" applyNumberFormat="1" applyFont="1" applyFill="1" applyBorder="1" applyAlignment="1" applyProtection="1">
      <alignment horizontal="center" vertical="center" wrapText="1"/>
    </xf>
    <xf numFmtId="2" fontId="20" fillId="0" borderId="70" xfId="5" applyNumberFormat="1" applyFont="1" applyFill="1" applyBorder="1" applyAlignment="1" applyProtection="1">
      <alignment horizontal="center" vertical="center" wrapText="1"/>
    </xf>
    <xf numFmtId="2" fontId="20" fillId="0" borderId="69" xfId="5" applyNumberFormat="1" applyFont="1" applyFill="1" applyBorder="1" applyAlignment="1" applyProtection="1">
      <alignment horizontal="center" vertical="center" wrapText="1"/>
    </xf>
    <xf numFmtId="166" fontId="20" fillId="0" borderId="71" xfId="5" applyNumberFormat="1" applyFont="1" applyFill="1" applyBorder="1" applyAlignment="1" applyProtection="1">
      <alignment horizontal="center" vertical="center" wrapText="1"/>
      <protection locked="0"/>
    </xf>
    <xf numFmtId="166" fontId="20" fillId="0" borderId="70" xfId="5" applyNumberFormat="1" applyFont="1" applyFill="1" applyBorder="1" applyAlignment="1" applyProtection="1">
      <alignment horizontal="center" vertical="center" wrapText="1"/>
      <protection locked="0"/>
    </xf>
    <xf numFmtId="166" fontId="20" fillId="0" borderId="69" xfId="5" applyNumberFormat="1" applyFont="1" applyFill="1" applyBorder="1" applyAlignment="1" applyProtection="1">
      <alignment horizontal="center" vertical="center" wrapText="1"/>
      <protection locked="0"/>
    </xf>
    <xf numFmtId="43" fontId="13" fillId="0" borderId="45" xfId="5" applyFont="1" applyFill="1" applyBorder="1" applyAlignment="1" applyProtection="1">
      <alignment horizontal="center" vertical="center" wrapText="1"/>
    </xf>
    <xf numFmtId="43" fontId="13" fillId="0" borderId="44" xfId="5" applyFont="1" applyFill="1" applyBorder="1" applyAlignment="1" applyProtection="1">
      <alignment horizontal="center" vertical="center" wrapText="1"/>
    </xf>
    <xf numFmtId="43" fontId="13" fillId="0" borderId="43" xfId="5" applyFont="1" applyFill="1" applyBorder="1" applyAlignment="1" applyProtection="1">
      <alignment horizontal="center" vertical="center" wrapText="1"/>
    </xf>
    <xf numFmtId="0" fontId="26" fillId="0" borderId="72" xfId="4" applyFont="1" applyFill="1" applyBorder="1" applyAlignment="1" applyProtection="1">
      <alignment horizontal="left" vertical="center" wrapText="1"/>
    </xf>
    <xf numFmtId="0" fontId="25" fillId="0" borderId="53" xfId="4" applyFont="1" applyFill="1" applyBorder="1" applyAlignment="1" applyProtection="1">
      <alignment horizontal="left" vertical="center" wrapText="1"/>
    </xf>
    <xf numFmtId="0" fontId="26" fillId="0" borderId="61" xfId="4" applyFont="1" applyFill="1" applyBorder="1" applyAlignment="1" applyProtection="1">
      <alignment horizontal="left" vertical="center" wrapText="1"/>
    </xf>
    <xf numFmtId="0" fontId="25" fillId="0" borderId="60" xfId="4" applyFont="1" applyFill="1" applyBorder="1" applyAlignment="1" applyProtection="1">
      <alignment horizontal="left" vertical="center" wrapText="1"/>
    </xf>
    <xf numFmtId="166" fontId="20" fillId="0" borderId="75" xfId="5" applyNumberFormat="1" applyFont="1" applyFill="1" applyBorder="1" applyAlignment="1" applyProtection="1">
      <alignment horizontal="center" vertical="center" wrapText="1"/>
      <protection locked="0"/>
    </xf>
    <xf numFmtId="166" fontId="20" fillId="0" borderId="74" xfId="5" applyNumberFormat="1" applyFont="1" applyFill="1" applyBorder="1" applyAlignment="1" applyProtection="1">
      <alignment horizontal="center" vertical="center" wrapText="1"/>
      <protection locked="0"/>
    </xf>
    <xf numFmtId="166" fontId="20" fillId="0" borderId="73" xfId="5" applyNumberFormat="1" applyFont="1" applyFill="1" applyBorder="1" applyAlignment="1" applyProtection="1">
      <alignment horizontal="center" vertical="center" wrapText="1"/>
      <protection locked="0"/>
    </xf>
    <xf numFmtId="0" fontId="17" fillId="5" borderId="0" xfId="4" applyFont="1" applyFill="1" applyBorder="1" applyAlignment="1" applyProtection="1">
      <alignment horizontal="center" vertical="center" wrapText="1"/>
    </xf>
    <xf numFmtId="0" fontId="21" fillId="4" borderId="37" xfId="4" applyFont="1" applyFill="1" applyBorder="1" applyAlignment="1" applyProtection="1">
      <alignment horizontal="center" vertical="center"/>
    </xf>
    <xf numFmtId="0" fontId="21" fillId="4" borderId="22" xfId="4" applyFont="1" applyFill="1" applyBorder="1" applyAlignment="1" applyProtection="1">
      <alignment horizontal="center" vertical="center"/>
    </xf>
    <xf numFmtId="0" fontId="21" fillId="4" borderId="77" xfId="4" applyFont="1" applyFill="1" applyBorder="1" applyAlignment="1" applyProtection="1">
      <alignment horizontal="center" vertical="center"/>
    </xf>
    <xf numFmtId="0" fontId="21" fillId="4" borderId="16" xfId="4" applyFont="1" applyFill="1" applyBorder="1" applyAlignment="1" applyProtection="1">
      <alignment horizontal="center" vertical="center"/>
    </xf>
    <xf numFmtId="0" fontId="21" fillId="4" borderId="23" xfId="4" applyFont="1" applyFill="1" applyBorder="1" applyAlignment="1" applyProtection="1">
      <alignment horizontal="center" vertical="center" wrapText="1"/>
    </xf>
    <xf numFmtId="0" fontId="21" fillId="4" borderId="19" xfId="4" applyFont="1" applyFill="1" applyBorder="1" applyAlignment="1" applyProtection="1">
      <alignment horizontal="center" vertical="center" wrapText="1"/>
    </xf>
    <xf numFmtId="0" fontId="21" fillId="4" borderId="20" xfId="4" applyFont="1" applyFill="1" applyBorder="1" applyAlignment="1" applyProtection="1">
      <alignment horizontal="center" vertical="center" wrapText="1"/>
    </xf>
    <xf numFmtId="0" fontId="21" fillId="4" borderId="76" xfId="4" applyFont="1" applyFill="1" applyBorder="1" applyAlignment="1" applyProtection="1">
      <alignment horizontal="center" vertical="center" wrapText="1"/>
    </xf>
    <xf numFmtId="0" fontId="21" fillId="4" borderId="16" xfId="4" applyFont="1" applyFill="1" applyBorder="1" applyAlignment="1" applyProtection="1">
      <alignment horizontal="center" vertical="center" wrapText="1"/>
    </xf>
    <xf numFmtId="0" fontId="21" fillId="4" borderId="21" xfId="4" applyFont="1" applyFill="1" applyBorder="1" applyAlignment="1" applyProtection="1">
      <alignment horizontal="center" vertical="center" wrapText="1"/>
    </xf>
    <xf numFmtId="0" fontId="13" fillId="4" borderId="45" xfId="4" applyFont="1" applyFill="1" applyBorder="1" applyAlignment="1" applyProtection="1">
      <alignment horizontal="center" vertical="center" wrapText="1"/>
    </xf>
    <xf numFmtId="0" fontId="13" fillId="4" borderId="44" xfId="4" applyFont="1" applyFill="1" applyBorder="1" applyAlignment="1" applyProtection="1">
      <alignment horizontal="center" vertical="center" wrapText="1"/>
    </xf>
    <xf numFmtId="0" fontId="13" fillId="4" borderId="43" xfId="4" applyFont="1" applyFill="1" applyBorder="1" applyAlignment="1" applyProtection="1">
      <alignment horizontal="center" vertical="center" wrapText="1"/>
    </xf>
    <xf numFmtId="0" fontId="10" fillId="0" borderId="42" xfId="4" applyFont="1" applyFill="1" applyBorder="1" applyAlignment="1" applyProtection="1">
      <alignment horizontal="left"/>
    </xf>
    <xf numFmtId="0" fontId="10" fillId="0" borderId="41" xfId="4" applyFont="1" applyFill="1" applyBorder="1" applyAlignment="1" applyProtection="1">
      <alignment horizontal="left"/>
    </xf>
    <xf numFmtId="0" fontId="25" fillId="0" borderId="1" xfId="4" applyFont="1" applyFill="1" applyBorder="1" applyAlignment="1" applyProtection="1">
      <alignment horizontal="left"/>
    </xf>
    <xf numFmtId="9" fontId="26" fillId="0" borderId="1" xfId="4" applyNumberFormat="1" applyFont="1" applyFill="1" applyBorder="1" applyAlignment="1" applyProtection="1">
      <alignment horizontal="center"/>
      <protection locked="0"/>
    </xf>
    <xf numFmtId="10" fontId="26" fillId="0" borderId="1" xfId="4" applyNumberFormat="1" applyFont="1" applyFill="1" applyBorder="1" applyAlignment="1" applyProtection="1">
      <alignment horizontal="center"/>
      <protection locked="0"/>
    </xf>
    <xf numFmtId="0" fontId="10" fillId="0" borderId="45" xfId="4" applyFont="1" applyFill="1" applyBorder="1" applyAlignment="1" applyProtection="1">
      <alignment horizontal="left"/>
    </xf>
    <xf numFmtId="0" fontId="10" fillId="0" borderId="44" xfId="4" applyFont="1" applyFill="1" applyBorder="1" applyAlignment="1" applyProtection="1">
      <alignment horizontal="left"/>
    </xf>
    <xf numFmtId="0" fontId="10" fillId="0" borderId="44" xfId="4" applyFont="1" applyFill="1" applyBorder="1" applyAlignment="1" applyProtection="1">
      <alignment horizontal="left"/>
      <protection locked="0"/>
    </xf>
    <xf numFmtId="0" fontId="10" fillId="0" borderId="43" xfId="4" applyFont="1" applyFill="1" applyBorder="1" applyAlignment="1" applyProtection="1">
      <alignment horizontal="left"/>
      <protection locked="0"/>
    </xf>
    <xf numFmtId="0" fontId="19" fillId="0" borderId="0" xfId="4" applyFont="1" applyFill="1" applyBorder="1" applyAlignment="1" applyProtection="1">
      <alignment horizontal="center"/>
    </xf>
    <xf numFmtId="0" fontId="10" fillId="0" borderId="58" xfId="4" applyFont="1" applyFill="1" applyBorder="1" applyAlignment="1" applyProtection="1">
      <alignment horizontal="left"/>
    </xf>
    <xf numFmtId="0" fontId="10" fillId="0" borderId="56" xfId="4" applyFont="1" applyFill="1" applyBorder="1" applyAlignment="1" applyProtection="1">
      <alignment horizontal="left"/>
    </xf>
    <xf numFmtId="0" fontId="10" fillId="0" borderId="56" xfId="4" applyFont="1" applyFill="1" applyBorder="1" applyAlignment="1" applyProtection="1">
      <alignment horizontal="left"/>
      <protection locked="0"/>
    </xf>
    <xf numFmtId="0" fontId="10" fillId="0" borderId="55" xfId="4" applyFont="1" applyFill="1" applyBorder="1" applyAlignment="1" applyProtection="1">
      <alignment horizontal="left"/>
      <protection locked="0"/>
    </xf>
  </cellXfs>
  <cellStyles count="6">
    <cellStyle name="Moeda" xfId="2" builtinId="4"/>
    <cellStyle name="Normal" xfId="0" builtinId="0"/>
    <cellStyle name="Normal 2" xfId="4"/>
    <cellStyle name="Porcentagem" xfId="3" builtinId="5"/>
    <cellStyle name="Vírgula" xfId="1" builtinId="3"/>
    <cellStyle name="Vírgula 2" xfId="5"/>
  </cellStyles>
  <dxfs count="5">
    <dxf>
      <font>
        <b/>
        <i val="0"/>
        <condense val="0"/>
        <extend val="0"/>
        <color indexed="16"/>
      </font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60"/>
      </font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60"/>
      </font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42"/>
        </patternFill>
      </fill>
    </dxf>
    <dxf>
      <font>
        <b/>
        <i val="0"/>
        <strike val="0"/>
        <condense val="0"/>
        <extend val="0"/>
        <color indexed="16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6" fmlaLink="[2]Plan4!$B$17" fmlaRange="[2]Plan4!$C$19:$C$24" noThreeD="1" sel="0" val="0"/>
</file>

<file path=xl/ctrlProps/ctrlProp2.xml><?xml version="1.0" encoding="utf-8"?>
<formControlPr xmlns="http://schemas.microsoft.com/office/spreadsheetml/2009/9/main" objectType="Drop" dropLines="2" dropStyle="combo" dx="26" fmlaLink="[2]Plan4!$B$26" fmlaRange="[2]Plan4!$C$28:$I$29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53340</xdr:rowOff>
    </xdr:from>
    <xdr:to>
      <xdr:col>2</xdr:col>
      <xdr:colOff>777240</xdr:colOff>
      <xdr:row>5</xdr:row>
      <xdr:rowOff>361014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3E1895-2784-4CBC-A0D1-E70506A1A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259080"/>
          <a:ext cx="2209801" cy="1084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106680</xdr:rowOff>
    </xdr:from>
    <xdr:to>
      <xdr:col>2</xdr:col>
      <xdr:colOff>1093470</xdr:colOff>
      <xdr:row>5</xdr:row>
      <xdr:rowOff>277194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93E1895-2784-4CBC-A0D1-E70506A1A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6680"/>
          <a:ext cx="2404110" cy="1161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106326</xdr:colOff>
      <xdr:row>1</xdr:row>
      <xdr:rowOff>53340</xdr:rowOff>
    </xdr:from>
    <xdr:to>
      <xdr:col>2</xdr:col>
      <xdr:colOff>870585</xdr:colOff>
      <xdr:row>5</xdr:row>
      <xdr:rowOff>368634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93E1895-2784-4CBC-A0D1-E70506A1A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326" y="248270"/>
          <a:ext cx="2314840" cy="1095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147320</xdr:rowOff>
    </xdr:from>
    <xdr:ext cx="3223260" cy="62484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0" y="7858760"/>
          <a:ext cx="3223260" cy="6248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pt-BR" sz="1400"/>
            <a:t>________________________________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RODRIGO</a:t>
          </a:r>
          <a:r>
            <a:rPr lang="pt-BR" sz="1100" b="0" i="0" u="none" strike="noStrike" baseline="0">
              <a:effectLst/>
              <a:latin typeface="+mn-lt"/>
              <a:ea typeface="+mn-ea"/>
              <a:cs typeface="+mn-cs"/>
            </a:rPr>
            <a:t> IURY PENA DE MOURA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/>
          </a:r>
          <a:br>
            <a:rPr lang="pt-BR" sz="1100" b="0" i="0" u="none" strike="noStrike">
              <a:effectLst/>
              <a:latin typeface="+mn-lt"/>
              <a:ea typeface="+mn-ea"/>
              <a:cs typeface="+mn-cs"/>
            </a:rPr>
          </a:b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CREA-MG 221.401/D</a:t>
          </a:r>
          <a:r>
            <a:rPr lang="pt-BR" sz="1400"/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1400"/>
            <a:t> </a:t>
          </a:r>
          <a:endParaRPr sz="1400"/>
        </a:p>
      </xdr:txBody>
    </xdr:sp>
    <xdr:clientData fLocksWithSheet="0"/>
  </xdr:oneCellAnchor>
  <xdr:oneCellAnchor>
    <xdr:from>
      <xdr:col>5</xdr:col>
      <xdr:colOff>88900</xdr:colOff>
      <xdr:row>46</xdr:row>
      <xdr:rowOff>142240</xdr:rowOff>
    </xdr:from>
    <xdr:ext cx="3223260" cy="62484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136900" y="7853680"/>
          <a:ext cx="3223260" cy="6248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pt-BR" sz="1400"/>
            <a:t>________________________________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SELMA</a:t>
          </a:r>
          <a:r>
            <a:rPr lang="pt-BR" sz="1100" b="0" i="0" u="none" strike="noStrike" baseline="0">
              <a:effectLst/>
              <a:latin typeface="+mn-lt"/>
              <a:ea typeface="+mn-ea"/>
              <a:cs typeface="+mn-cs"/>
            </a:rPr>
            <a:t> MARIA MORAIS DOS SANTOS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/>
          </a:r>
          <a:br>
            <a:rPr lang="pt-BR" sz="1100" b="0" i="0" u="none" strike="noStrike">
              <a:effectLst/>
              <a:latin typeface="+mn-lt"/>
              <a:ea typeface="+mn-ea"/>
              <a:cs typeface="+mn-cs"/>
            </a:rPr>
          </a:b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PREFEITA</a:t>
          </a:r>
          <a:r>
            <a:rPr lang="pt-BR" sz="1100" b="0" i="0" u="none" strike="noStrike" baseline="0">
              <a:effectLst/>
              <a:latin typeface="+mn-lt"/>
              <a:ea typeface="+mn-ea"/>
              <a:cs typeface="+mn-cs"/>
            </a:rPr>
            <a:t> MUNICIPAL</a:t>
          </a:r>
          <a:endParaRPr sz="1400"/>
        </a:p>
      </xdr:txBody>
    </xdr:sp>
    <xdr:clientData fLocksWithSheet="0"/>
  </xdr:oneCellAnchor>
  <xdr:twoCellAnchor editAs="oneCell">
    <xdr:from>
      <xdr:col>0</xdr:col>
      <xdr:colOff>340467</xdr:colOff>
      <xdr:row>0</xdr:row>
      <xdr:rowOff>154022</xdr:rowOff>
    </xdr:from>
    <xdr:to>
      <xdr:col>11</xdr:col>
      <xdr:colOff>149658</xdr:colOff>
      <xdr:row>43</xdr:row>
      <xdr:rowOff>167505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467" y="154022"/>
          <a:ext cx="6496957" cy="80306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45533</xdr:colOff>
      <xdr:row>0</xdr:row>
      <xdr:rowOff>407509</xdr:rowOff>
    </xdr:from>
    <xdr:to>
      <xdr:col>2</xdr:col>
      <xdr:colOff>1857430</xdr:colOff>
      <xdr:row>5</xdr:row>
      <xdr:rowOff>32710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3E1895-2784-4CBC-A0D1-E70506A1A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79" y="407509"/>
          <a:ext cx="2402178" cy="10848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</xdr:row>
          <xdr:rowOff>7620</xdr:rowOff>
        </xdr:from>
        <xdr:to>
          <xdr:col>18</xdr:col>
          <xdr:colOff>190500</xdr:colOff>
          <xdr:row>6</xdr:row>
          <xdr:rowOff>228600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320040</xdr:colOff>
      <xdr:row>21</xdr:row>
      <xdr:rowOff>7620</xdr:rowOff>
    </xdr:from>
    <xdr:ext cx="2197100" cy="56388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528060"/>
          <a:ext cx="21971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7</xdr:row>
          <xdr:rowOff>7620</xdr:rowOff>
        </xdr:from>
        <xdr:to>
          <xdr:col>18</xdr:col>
          <xdr:colOff>198120</xdr:colOff>
          <xdr:row>7</xdr:row>
          <xdr:rowOff>228600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RODRIGO\ARQUIVOS%20DA%20&#193;REA%20DE%20TRABALHO\PONTE%208,0mX4,20m\PLANILHA%20PONTE%20LAGOA%208x4,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RODRIGO\ARQUIVOS%20DA%20&#193;REA%20DE%20TRABALHO\PONTE%208,0mX4,20m\BDI%20PONTE%20DA%20LAGO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  <sheetName val="COMPOSIÇÕES"/>
      <sheetName val="MEMÓRIA DE CÁLCULO DETALHADA"/>
      <sheetName val="RESUMO DE AÇO E CONCRETO"/>
    </sheetNames>
    <sheetDataSet>
      <sheetData sheetId="0"/>
      <sheetData sheetId="1">
        <row r="13">
          <cell r="B13" t="str">
            <v>ESTUDOS DE ENGENHARIA E SERVIÇOS PRELIMINARES</v>
          </cell>
        </row>
        <row r="14">
          <cell r="B14" t="str">
            <v>MOBILIZAÇÃO E DESMOBILIZAÇÃO</v>
          </cell>
        </row>
        <row r="15">
          <cell r="B15" t="str">
            <v>ADMINISTRAÇÃO DE CANTEIRO DE OBRAS</v>
          </cell>
        </row>
        <row r="16">
          <cell r="B16" t="str">
            <v>INFRAESTRUTURA - ESTACA RAIZ E BLOCO</v>
          </cell>
        </row>
        <row r="17">
          <cell r="B17" t="str">
            <v>MESOESTRUTURA - CORTINA E PILARES</v>
          </cell>
        </row>
        <row r="18">
          <cell r="B18" t="str">
            <v>SUPERESTRUTURA</v>
          </cell>
        </row>
        <row r="19">
          <cell r="B19" t="str">
            <v>SERVIÇOS FINAIS E ACABAMENTOS</v>
          </cell>
        </row>
        <row r="20">
          <cell r="B20" t="str">
            <v>TRANSPORTES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Plan4"/>
    </sheetNames>
    <sheetDataSet>
      <sheetData sheetId="0"/>
      <sheetData sheetId="1">
        <row r="6">
          <cell r="C6">
            <v>3</v>
          </cell>
          <cell r="D6">
            <v>3.8</v>
          </cell>
          <cell r="E6">
            <v>3.43</v>
          </cell>
          <cell r="F6">
            <v>5.29</v>
          </cell>
          <cell r="G6">
            <v>4</v>
          </cell>
          <cell r="H6">
            <v>1.5</v>
          </cell>
          <cell r="I6">
            <v>4</v>
          </cell>
          <cell r="J6">
            <v>4.01</v>
          </cell>
          <cell r="K6">
            <v>4.93</v>
          </cell>
          <cell r="L6">
            <v>5.92</v>
          </cell>
          <cell r="M6">
            <v>5.52</v>
          </cell>
          <cell r="N6">
            <v>3.45</v>
          </cell>
          <cell r="O6">
            <v>5.5</v>
          </cell>
          <cell r="P6">
            <v>4.67</v>
          </cell>
          <cell r="Q6">
            <v>6.71</v>
          </cell>
          <cell r="R6">
            <v>7.93</v>
          </cell>
          <cell r="S6">
            <v>7.85</v>
          </cell>
          <cell r="T6">
            <v>4.49</v>
          </cell>
        </row>
        <row r="7">
          <cell r="C7">
            <v>0.8</v>
          </cell>
          <cell r="D7">
            <v>0.32</v>
          </cell>
          <cell r="E7">
            <v>0.28000000000000003</v>
          </cell>
          <cell r="F7">
            <v>0.25</v>
          </cell>
          <cell r="G7">
            <v>0.81</v>
          </cell>
          <cell r="H7">
            <v>0.3</v>
          </cell>
          <cell r="I7">
            <v>0.8</v>
          </cell>
          <cell r="J7">
            <v>0.4</v>
          </cell>
          <cell r="K7">
            <v>0.49</v>
          </cell>
          <cell r="L7">
            <v>0.51</v>
          </cell>
          <cell r="M7">
            <v>1.22</v>
          </cell>
          <cell r="N7">
            <v>0.48</v>
          </cell>
          <cell r="O7">
            <v>1</v>
          </cell>
          <cell r="P7">
            <v>0.74</v>
          </cell>
          <cell r="Q7">
            <v>0.75</v>
          </cell>
          <cell r="R7">
            <v>0.56000000000000005</v>
          </cell>
          <cell r="S7">
            <v>1.99</v>
          </cell>
          <cell r="T7">
            <v>0.82</v>
          </cell>
        </row>
        <row r="8">
          <cell r="C8">
            <v>0.97</v>
          </cell>
          <cell r="D8">
            <v>0.5</v>
          </cell>
          <cell r="E8">
            <v>1</v>
          </cell>
          <cell r="F8">
            <v>1</v>
          </cell>
          <cell r="G8">
            <v>1.46</v>
          </cell>
          <cell r="H8">
            <v>0.56000000000000005</v>
          </cell>
          <cell r="I8">
            <v>1.27</v>
          </cell>
          <cell r="J8">
            <v>0.56000000000000005</v>
          </cell>
          <cell r="K8">
            <v>1.39</v>
          </cell>
          <cell r="L8">
            <v>1.48</v>
          </cell>
          <cell r="M8">
            <v>2.3199999999999998</v>
          </cell>
          <cell r="N8">
            <v>0.85</v>
          </cell>
          <cell r="O8">
            <v>1.27</v>
          </cell>
          <cell r="P8">
            <v>0.97</v>
          </cell>
          <cell r="Q8">
            <v>1.74</v>
          </cell>
          <cell r="R8">
            <v>1.97</v>
          </cell>
          <cell r="S8">
            <v>3.16</v>
          </cell>
          <cell r="T8">
            <v>0.89</v>
          </cell>
        </row>
        <row r="9">
          <cell r="C9">
            <v>0.59</v>
          </cell>
          <cell r="D9">
            <v>1.02</v>
          </cell>
          <cell r="E9">
            <v>0.94</v>
          </cell>
          <cell r="F9">
            <v>1.01</v>
          </cell>
          <cell r="G9">
            <v>0.94</v>
          </cell>
          <cell r="H9">
            <v>0.85</v>
          </cell>
          <cell r="I9">
            <v>1.23</v>
          </cell>
          <cell r="J9">
            <v>1.1100000000000001</v>
          </cell>
          <cell r="K9">
            <v>0.99</v>
          </cell>
          <cell r="L9">
            <v>1.07</v>
          </cell>
          <cell r="M9">
            <v>1.02</v>
          </cell>
          <cell r="N9">
            <v>0.85</v>
          </cell>
          <cell r="O9">
            <v>1.39</v>
          </cell>
          <cell r="P9">
            <v>1.21</v>
          </cell>
          <cell r="Q9">
            <v>1.17</v>
          </cell>
          <cell r="R9">
            <v>1.1100000000000001</v>
          </cell>
          <cell r="S9">
            <v>1.33</v>
          </cell>
          <cell r="T9">
            <v>1.1100000000000001</v>
          </cell>
        </row>
        <row r="10">
          <cell r="C10">
            <v>6.16</v>
          </cell>
          <cell r="D10">
            <v>6.64</v>
          </cell>
          <cell r="E10">
            <v>6.74</v>
          </cell>
          <cell r="F10">
            <v>8</v>
          </cell>
          <cell r="G10">
            <v>7.14</v>
          </cell>
          <cell r="H10">
            <v>3.5</v>
          </cell>
          <cell r="I10">
            <v>7.4</v>
          </cell>
          <cell r="J10">
            <v>7.3</v>
          </cell>
          <cell r="K10">
            <v>8.0399999999999991</v>
          </cell>
          <cell r="L10">
            <v>8.31</v>
          </cell>
          <cell r="M10">
            <v>8.4</v>
          </cell>
          <cell r="N10">
            <v>5.1100000000000003</v>
          </cell>
          <cell r="O10">
            <v>8.9600000000000009</v>
          </cell>
          <cell r="P10">
            <v>8.69</v>
          </cell>
          <cell r="Q10">
            <v>9.4</v>
          </cell>
          <cell r="R10">
            <v>9.51</v>
          </cell>
          <cell r="S10">
            <v>10.43</v>
          </cell>
          <cell r="T10">
            <v>6.22</v>
          </cell>
        </row>
        <row r="11">
          <cell r="C11">
            <v>0.65</v>
          </cell>
          <cell r="D11">
            <v>0.65</v>
          </cell>
          <cell r="E11">
            <v>0.65</v>
          </cell>
          <cell r="F11">
            <v>0.65</v>
          </cell>
          <cell r="G11">
            <v>0.65</v>
          </cell>
          <cell r="H11">
            <v>0.65</v>
          </cell>
          <cell r="I11">
            <v>0.65</v>
          </cell>
          <cell r="J11">
            <v>0.65</v>
          </cell>
          <cell r="K11">
            <v>0.65</v>
          </cell>
          <cell r="L11">
            <v>0.65</v>
          </cell>
          <cell r="M11">
            <v>0.65</v>
          </cell>
          <cell r="N11">
            <v>0.65</v>
          </cell>
          <cell r="O11">
            <v>0.65</v>
          </cell>
          <cell r="P11">
            <v>0.65</v>
          </cell>
          <cell r="Q11">
            <v>0.65</v>
          </cell>
          <cell r="R11">
            <v>0.65</v>
          </cell>
          <cell r="S11">
            <v>0.65</v>
          </cell>
          <cell r="T11">
            <v>0.65</v>
          </cell>
        </row>
        <row r="12">
          <cell r="C12">
            <v>3</v>
          </cell>
          <cell r="D12">
            <v>3</v>
          </cell>
          <cell r="E12">
            <v>3</v>
          </cell>
          <cell r="F12">
            <v>3</v>
          </cell>
          <cell r="G12">
            <v>3</v>
          </cell>
          <cell r="H12">
            <v>3</v>
          </cell>
          <cell r="I12">
            <v>3</v>
          </cell>
          <cell r="J12">
            <v>3</v>
          </cell>
          <cell r="K12">
            <v>3</v>
          </cell>
          <cell r="L12">
            <v>3</v>
          </cell>
          <cell r="M12">
            <v>3</v>
          </cell>
          <cell r="N12">
            <v>3</v>
          </cell>
          <cell r="O12">
            <v>3</v>
          </cell>
          <cell r="P12">
            <v>3</v>
          </cell>
          <cell r="Q12">
            <v>3</v>
          </cell>
          <cell r="R12">
            <v>3</v>
          </cell>
          <cell r="S12">
            <v>3</v>
          </cell>
          <cell r="T12">
            <v>3</v>
          </cell>
        </row>
        <row r="13">
          <cell r="C13">
            <v>2</v>
          </cell>
          <cell r="D13">
            <v>2</v>
          </cell>
          <cell r="E13">
            <v>2</v>
          </cell>
          <cell r="F13">
            <v>2</v>
          </cell>
          <cell r="G13">
            <v>2</v>
          </cell>
          <cell r="H13">
            <v>2</v>
          </cell>
          <cell r="I13">
            <v>2</v>
          </cell>
          <cell r="J13">
            <v>2</v>
          </cell>
          <cell r="K13">
            <v>2</v>
          </cell>
          <cell r="L13">
            <v>2</v>
          </cell>
          <cell r="M13">
            <v>2</v>
          </cell>
          <cell r="N13">
            <v>2</v>
          </cell>
          <cell r="O13">
            <v>5</v>
          </cell>
          <cell r="P13">
            <v>5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</row>
        <row r="17">
          <cell r="B17">
            <v>2</v>
          </cell>
        </row>
        <row r="19">
          <cell r="O19">
            <v>20.34</v>
          </cell>
          <cell r="Q19">
            <v>22.12</v>
          </cell>
          <cell r="S19">
            <v>25</v>
          </cell>
        </row>
        <row r="20">
          <cell r="O20">
            <v>19.600000000000001</v>
          </cell>
          <cell r="Q20">
            <v>20.97</v>
          </cell>
          <cell r="S20">
            <v>24.23</v>
          </cell>
        </row>
        <row r="21">
          <cell r="O21">
            <v>20.76</v>
          </cell>
          <cell r="Q21">
            <v>24.18</v>
          </cell>
          <cell r="S21">
            <v>26.44</v>
          </cell>
        </row>
        <row r="22">
          <cell r="O22">
            <v>24</v>
          </cell>
          <cell r="Q22">
            <v>25.84</v>
          </cell>
          <cell r="S22">
            <v>27.86</v>
          </cell>
        </row>
        <row r="23">
          <cell r="O23">
            <v>22.8</v>
          </cell>
          <cell r="Q23">
            <v>27.48</v>
          </cell>
          <cell r="S23">
            <v>30.95</v>
          </cell>
        </row>
        <row r="24">
          <cell r="O24">
            <v>11.1</v>
          </cell>
          <cell r="Q24">
            <v>14.02</v>
          </cell>
          <cell r="S24">
            <v>16.8</v>
          </cell>
        </row>
        <row r="26">
          <cell r="B2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tabSelected="1" view="pageBreakPreview" topLeftCell="A52" zoomScaleNormal="100" zoomScaleSheetLayoutView="100" workbookViewId="0">
      <selection activeCell="H58" sqref="H58"/>
    </sheetView>
  </sheetViews>
  <sheetFormatPr defaultRowHeight="14.4" x14ac:dyDescent="0.3"/>
  <cols>
    <col min="2" max="2" width="13.6640625" customWidth="1"/>
    <col min="3" max="3" width="13.44140625" customWidth="1"/>
    <col min="4" max="4" width="65.5546875" customWidth="1"/>
    <col min="6" max="9" width="15.44140625" customWidth="1"/>
    <col min="11" max="11" width="12.6640625" bestFit="1" customWidth="1"/>
  </cols>
  <sheetData>
    <row r="1" spans="1:12" ht="16.2" thickBot="1" x14ac:dyDescent="0.35">
      <c r="A1" s="241"/>
      <c r="B1" s="242"/>
      <c r="C1" s="243"/>
      <c r="D1" s="238" t="s">
        <v>135</v>
      </c>
      <c r="E1" s="239"/>
      <c r="F1" s="239"/>
      <c r="G1" s="239"/>
      <c r="H1" s="239"/>
      <c r="I1" s="240"/>
    </row>
    <row r="2" spans="1:12" ht="15.75" customHeight="1" x14ac:dyDescent="0.3">
      <c r="A2" s="244"/>
      <c r="B2" s="245"/>
      <c r="C2" s="246"/>
      <c r="D2" s="253" t="s">
        <v>17</v>
      </c>
      <c r="E2" s="254"/>
      <c r="F2" s="254"/>
      <c r="G2" s="254"/>
      <c r="H2" s="254"/>
      <c r="I2" s="255"/>
    </row>
    <row r="3" spans="1:12" ht="15.75" customHeight="1" x14ac:dyDescent="0.3">
      <c r="A3" s="244"/>
      <c r="B3" s="245"/>
      <c r="C3" s="246"/>
      <c r="D3" s="228" t="s">
        <v>18</v>
      </c>
      <c r="E3" s="229"/>
      <c r="F3" s="229"/>
      <c r="G3" s="229"/>
      <c r="H3" s="229"/>
      <c r="I3" s="230"/>
    </row>
    <row r="4" spans="1:12" ht="15.75" customHeight="1" x14ac:dyDescent="0.3">
      <c r="A4" s="244"/>
      <c r="B4" s="245"/>
      <c r="C4" s="246"/>
      <c r="D4" s="231" t="s">
        <v>19</v>
      </c>
      <c r="E4" s="231"/>
      <c r="F4" s="231"/>
      <c r="G4" s="231"/>
      <c r="H4" s="231"/>
      <c r="I4" s="232"/>
    </row>
    <row r="5" spans="1:12" x14ac:dyDescent="0.3">
      <c r="A5" s="244"/>
      <c r="B5" s="245"/>
      <c r="C5" s="246"/>
      <c r="D5" s="84" t="s">
        <v>333</v>
      </c>
      <c r="E5" s="259" t="s">
        <v>1</v>
      </c>
      <c r="F5" s="259"/>
      <c r="G5" s="259"/>
      <c r="H5" s="259" t="s">
        <v>2</v>
      </c>
      <c r="I5" s="262"/>
    </row>
    <row r="6" spans="1:12" ht="28.8" x14ac:dyDescent="0.3">
      <c r="A6" s="244"/>
      <c r="B6" s="245"/>
      <c r="C6" s="246"/>
      <c r="D6" s="82" t="s">
        <v>141</v>
      </c>
      <c r="E6" s="260" t="s">
        <v>313</v>
      </c>
      <c r="F6" s="260"/>
      <c r="G6" s="260"/>
      <c r="H6" s="263">
        <v>0.2258</v>
      </c>
      <c r="I6" s="264"/>
    </row>
    <row r="7" spans="1:12" ht="24.6" customHeight="1" thickBot="1" x14ac:dyDescent="0.35">
      <c r="A7" s="247"/>
      <c r="B7" s="248"/>
      <c r="C7" s="249"/>
      <c r="D7" s="83" t="s">
        <v>140</v>
      </c>
      <c r="E7" s="261" t="s">
        <v>298</v>
      </c>
      <c r="F7" s="261"/>
      <c r="G7" s="261"/>
      <c r="H7" s="265"/>
      <c r="I7" s="266"/>
    </row>
    <row r="8" spans="1:12" ht="16.2" thickBot="1" x14ac:dyDescent="0.35">
      <c r="A8" s="256" t="s">
        <v>0</v>
      </c>
      <c r="B8" s="257"/>
      <c r="C8" s="257"/>
      <c r="D8" s="257"/>
      <c r="E8" s="257"/>
      <c r="F8" s="257"/>
      <c r="G8" s="257"/>
      <c r="H8" s="257"/>
      <c r="I8" s="258"/>
    </row>
    <row r="9" spans="1:12" ht="28.8" x14ac:dyDescent="0.3">
      <c r="A9" s="1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3" t="s">
        <v>11</v>
      </c>
      <c r="I9" s="4" t="s">
        <v>12</v>
      </c>
    </row>
    <row r="10" spans="1:12" x14ac:dyDescent="0.3">
      <c r="A10" s="8" t="s">
        <v>13</v>
      </c>
      <c r="B10" s="6"/>
      <c r="C10" s="7"/>
      <c r="D10" s="6" t="s">
        <v>26</v>
      </c>
      <c r="E10" s="6"/>
      <c r="F10" s="6"/>
      <c r="G10" s="6"/>
      <c r="H10" s="6"/>
      <c r="I10" s="15">
        <f>SUM(I11:I11)</f>
        <v>2769.21</v>
      </c>
    </row>
    <row r="11" spans="1:12" ht="36" customHeight="1" x14ac:dyDescent="0.3">
      <c r="A11" s="9" t="s">
        <v>117</v>
      </c>
      <c r="B11" s="211">
        <v>103689</v>
      </c>
      <c r="C11" s="10" t="s">
        <v>21</v>
      </c>
      <c r="D11" s="14" t="s">
        <v>278</v>
      </c>
      <c r="E11" s="10" t="s">
        <v>131</v>
      </c>
      <c r="F11" s="11">
        <v>4.5</v>
      </c>
      <c r="G11" s="12">
        <v>502.02</v>
      </c>
      <c r="H11" s="12">
        <f t="shared" ref="H11" si="0">ROUND(G11*(1+H$6),2)</f>
        <v>615.38</v>
      </c>
      <c r="I11" s="13">
        <f t="shared" ref="I11" si="1">ROUND(H11*F11,2)</f>
        <v>2769.21</v>
      </c>
      <c r="K11" s="12">
        <v>1986.98</v>
      </c>
      <c r="L11" s="54">
        <f>ROUND(K11*0.9675,2)</f>
        <v>1922.4</v>
      </c>
    </row>
    <row r="12" spans="1:12" x14ac:dyDescent="0.3">
      <c r="A12" s="16" t="s">
        <v>15</v>
      </c>
      <c r="B12" s="17"/>
      <c r="C12" s="17"/>
      <c r="D12" s="18" t="s">
        <v>27</v>
      </c>
      <c r="E12" s="17"/>
      <c r="F12" s="19"/>
      <c r="G12" s="19"/>
      <c r="H12" s="20"/>
      <c r="I12" s="21">
        <f>SUM(I13:I14)</f>
        <v>6098.4</v>
      </c>
      <c r="K12" s="20"/>
      <c r="L12" s="54">
        <f t="shared" ref="L12:L59" si="2">ROUND(K12*0.9675,2)</f>
        <v>0</v>
      </c>
    </row>
    <row r="13" spans="1:12" ht="57.6" x14ac:dyDescent="0.3">
      <c r="A13" s="9" t="s">
        <v>16</v>
      </c>
      <c r="B13" s="211">
        <v>100951</v>
      </c>
      <c r="C13" s="10" t="s">
        <v>21</v>
      </c>
      <c r="D13" s="31" t="s">
        <v>279</v>
      </c>
      <c r="E13" s="10" t="s">
        <v>267</v>
      </c>
      <c r="F13" s="226">
        <f>5.5*2.4*60</f>
        <v>792</v>
      </c>
      <c r="G13" s="225">
        <v>3.14</v>
      </c>
      <c r="H13" s="12">
        <f>ROUND(G13*(1+H$6),2)</f>
        <v>3.85</v>
      </c>
      <c r="I13" s="13">
        <f t="shared" ref="I13" si="3">ROUND(H13*F13,2)</f>
        <v>3049.2</v>
      </c>
      <c r="K13" s="12">
        <v>0.69</v>
      </c>
      <c r="L13" s="54">
        <f t="shared" si="2"/>
        <v>0.67</v>
      </c>
    </row>
    <row r="14" spans="1:12" ht="57.6" x14ac:dyDescent="0.3">
      <c r="A14" s="9" t="s">
        <v>25</v>
      </c>
      <c r="B14" s="211">
        <v>100951</v>
      </c>
      <c r="C14" s="209" t="s">
        <v>21</v>
      </c>
      <c r="D14" s="31" t="s">
        <v>281</v>
      </c>
      <c r="E14" s="209" t="s">
        <v>267</v>
      </c>
      <c r="F14" s="226">
        <f>5.5*2.4*60</f>
        <v>792</v>
      </c>
      <c r="G14" s="225">
        <v>3.14</v>
      </c>
      <c r="H14" s="12">
        <f>ROUND(G14*(1+H$6),2)</f>
        <v>3.85</v>
      </c>
      <c r="I14" s="13">
        <f t="shared" ref="I14" si="4">ROUND(H14*F14,2)</f>
        <v>3049.2</v>
      </c>
      <c r="K14" s="12">
        <v>0.69</v>
      </c>
      <c r="L14" s="54">
        <f t="shared" si="2"/>
        <v>0.67</v>
      </c>
    </row>
    <row r="15" spans="1:12" x14ac:dyDescent="0.3">
      <c r="A15" s="16" t="s">
        <v>22</v>
      </c>
      <c r="B15" s="17"/>
      <c r="C15" s="17"/>
      <c r="D15" s="18" t="s">
        <v>28</v>
      </c>
      <c r="E15" s="17"/>
      <c r="F15" s="19"/>
      <c r="G15" s="19"/>
      <c r="H15" s="20"/>
      <c r="I15" s="21">
        <f>SUM(I16:I19)</f>
        <v>54242.98</v>
      </c>
      <c r="K15" s="20"/>
      <c r="L15" s="54">
        <f t="shared" si="2"/>
        <v>0</v>
      </c>
    </row>
    <row r="16" spans="1:12" x14ac:dyDescent="0.3">
      <c r="A16" s="9" t="s">
        <v>23</v>
      </c>
      <c r="B16" s="211">
        <v>90777</v>
      </c>
      <c r="C16" s="10" t="s">
        <v>21</v>
      </c>
      <c r="D16" s="31" t="s">
        <v>104</v>
      </c>
      <c r="E16" s="10" t="s">
        <v>30</v>
      </c>
      <c r="F16" s="11">
        <v>66</v>
      </c>
      <c r="G16" s="12">
        <v>131.30000000000001</v>
      </c>
      <c r="H16" s="12">
        <f>ROUND(G16*(1+H$6),2)</f>
        <v>160.94999999999999</v>
      </c>
      <c r="I16" s="13">
        <f t="shared" ref="I16:I17" si="5">ROUND(H16*F16,2)</f>
        <v>10622.7</v>
      </c>
      <c r="K16" s="12">
        <v>98</v>
      </c>
      <c r="L16" s="54">
        <f t="shared" si="2"/>
        <v>94.82</v>
      </c>
    </row>
    <row r="17" spans="1:12" x14ac:dyDescent="0.3">
      <c r="A17" s="9" t="s">
        <v>24</v>
      </c>
      <c r="B17" s="211">
        <v>90780</v>
      </c>
      <c r="C17" s="10" t="s">
        <v>21</v>
      </c>
      <c r="D17" s="31" t="s">
        <v>31</v>
      </c>
      <c r="E17" s="10" t="s">
        <v>30</v>
      </c>
      <c r="F17" s="11">
        <v>132</v>
      </c>
      <c r="G17" s="12">
        <v>108.99</v>
      </c>
      <c r="H17" s="12">
        <f>ROUND(G17*(1+H$6),2)</f>
        <v>133.6</v>
      </c>
      <c r="I17" s="13">
        <f t="shared" si="5"/>
        <v>17635.2</v>
      </c>
      <c r="K17" s="12">
        <v>56.59</v>
      </c>
      <c r="L17" s="54">
        <f t="shared" si="2"/>
        <v>54.75</v>
      </c>
    </row>
    <row r="18" spans="1:12" ht="28.8" x14ac:dyDescent="0.3">
      <c r="A18" s="9" t="s">
        <v>32</v>
      </c>
      <c r="B18" s="211" t="s">
        <v>34</v>
      </c>
      <c r="C18" s="10" t="s">
        <v>29</v>
      </c>
      <c r="D18" s="31" t="s">
        <v>282</v>
      </c>
      <c r="E18" s="10" t="s">
        <v>30</v>
      </c>
      <c r="F18" s="11">
        <v>22</v>
      </c>
      <c r="G18" s="12">
        <v>297.26960000000003</v>
      </c>
      <c r="H18" s="12">
        <f>ROUND(G18*(1+H$6),2)</f>
        <v>364.39</v>
      </c>
      <c r="I18" s="13">
        <f t="shared" ref="I18" si="6">ROUND(H18*F18,2)</f>
        <v>8016.58</v>
      </c>
      <c r="K18" s="12">
        <v>276.08</v>
      </c>
      <c r="L18" s="54">
        <f t="shared" si="2"/>
        <v>267.11</v>
      </c>
    </row>
    <row r="19" spans="1:12" x14ac:dyDescent="0.3">
      <c r="A19" s="9" t="s">
        <v>33</v>
      </c>
      <c r="B19" s="211" t="s">
        <v>35</v>
      </c>
      <c r="C19" s="10" t="s">
        <v>29</v>
      </c>
      <c r="D19" s="31" t="s">
        <v>283</v>
      </c>
      <c r="E19" s="10" t="s">
        <v>30</v>
      </c>
      <c r="F19" s="11">
        <v>330</v>
      </c>
      <c r="G19" s="12">
        <v>44.420200000000001</v>
      </c>
      <c r="H19" s="12">
        <f>ROUND(G19*(1+H$6),2)</f>
        <v>54.45</v>
      </c>
      <c r="I19" s="13">
        <f t="shared" ref="I19" si="7">ROUND(H19*F19,2)</f>
        <v>17968.5</v>
      </c>
      <c r="K19" s="12">
        <v>34.08</v>
      </c>
      <c r="L19" s="54">
        <f t="shared" si="2"/>
        <v>32.97</v>
      </c>
    </row>
    <row r="20" spans="1:12" x14ac:dyDescent="0.3">
      <c r="A20" s="16" t="s">
        <v>36</v>
      </c>
      <c r="B20" s="17"/>
      <c r="C20" s="17"/>
      <c r="D20" s="18" t="s">
        <v>41</v>
      </c>
      <c r="E20" s="17"/>
      <c r="F20" s="19"/>
      <c r="G20" s="19"/>
      <c r="H20" s="20"/>
      <c r="I20" s="21">
        <f>SUM(I21:I29)</f>
        <v>81940.59</v>
      </c>
      <c r="K20" s="20"/>
      <c r="L20" s="54">
        <f t="shared" si="2"/>
        <v>0</v>
      </c>
    </row>
    <row r="21" spans="1:12" x14ac:dyDescent="0.3">
      <c r="A21" s="9" t="s">
        <v>37</v>
      </c>
      <c r="B21" s="211">
        <v>93358</v>
      </c>
      <c r="C21" s="10" t="s">
        <v>21</v>
      </c>
      <c r="D21" s="31" t="s">
        <v>284</v>
      </c>
      <c r="E21" s="10" t="s">
        <v>46</v>
      </c>
      <c r="F21" s="11">
        <v>6.85</v>
      </c>
      <c r="G21" s="12">
        <v>89.55</v>
      </c>
      <c r="H21" s="12">
        <f t="shared" ref="H21:H29" si="8">ROUND(G21*(1+H$6),2)</f>
        <v>109.77</v>
      </c>
      <c r="I21" s="13">
        <f t="shared" ref="I21:I26" si="9">ROUND(H21*F21,2)</f>
        <v>751.92</v>
      </c>
      <c r="K21" s="12">
        <v>71.28</v>
      </c>
      <c r="L21" s="54">
        <f t="shared" si="2"/>
        <v>68.959999999999994</v>
      </c>
    </row>
    <row r="22" spans="1:12" ht="24" customHeight="1" x14ac:dyDescent="0.3">
      <c r="A22" s="9" t="s">
        <v>38</v>
      </c>
      <c r="B22" s="211">
        <v>2306064</v>
      </c>
      <c r="C22" s="10" t="s">
        <v>29</v>
      </c>
      <c r="D22" s="31" t="s">
        <v>312</v>
      </c>
      <c r="E22" s="10" t="s">
        <v>48</v>
      </c>
      <c r="F22" s="11">
        <v>280</v>
      </c>
      <c r="G22" s="12">
        <v>133.47999999999999</v>
      </c>
      <c r="H22" s="12">
        <f t="shared" si="8"/>
        <v>163.62</v>
      </c>
      <c r="I22" s="13">
        <f t="shared" si="9"/>
        <v>45813.599999999999</v>
      </c>
      <c r="K22" s="12">
        <v>106.19</v>
      </c>
      <c r="L22" s="54">
        <f t="shared" si="2"/>
        <v>102.74</v>
      </c>
    </row>
    <row r="23" spans="1:12" ht="43.2" x14ac:dyDescent="0.3">
      <c r="A23" s="9" t="s">
        <v>39</v>
      </c>
      <c r="B23" s="211">
        <v>94966</v>
      </c>
      <c r="C23" s="216" t="s">
        <v>21</v>
      </c>
      <c r="D23" s="31" t="s">
        <v>339</v>
      </c>
      <c r="E23" s="10" t="s">
        <v>46</v>
      </c>
      <c r="F23" s="11">
        <v>6.85</v>
      </c>
      <c r="G23" s="12">
        <v>580.69000000000005</v>
      </c>
      <c r="H23" s="12">
        <f t="shared" si="8"/>
        <v>711.81</v>
      </c>
      <c r="I23" s="13">
        <f t="shared" si="9"/>
        <v>4875.8999999999996</v>
      </c>
      <c r="K23" s="12">
        <v>413.67</v>
      </c>
      <c r="L23" s="54">
        <f t="shared" si="2"/>
        <v>400.23</v>
      </c>
    </row>
    <row r="24" spans="1:12" ht="43.2" x14ac:dyDescent="0.3">
      <c r="A24" s="9" t="s">
        <v>40</v>
      </c>
      <c r="B24" s="211">
        <v>103670</v>
      </c>
      <c r="C24" s="10" t="s">
        <v>21</v>
      </c>
      <c r="D24" s="31" t="s">
        <v>285</v>
      </c>
      <c r="E24" s="10" t="s">
        <v>46</v>
      </c>
      <c r="F24" s="11">
        <v>6.85</v>
      </c>
      <c r="G24" s="12">
        <v>321.64</v>
      </c>
      <c r="H24" s="12">
        <f t="shared" si="8"/>
        <v>394.27</v>
      </c>
      <c r="I24" s="13">
        <f t="shared" si="9"/>
        <v>2700.75</v>
      </c>
      <c r="K24" s="12">
        <v>257.97000000000003</v>
      </c>
      <c r="L24" s="54">
        <f t="shared" si="2"/>
        <v>249.59</v>
      </c>
    </row>
    <row r="25" spans="1:12" ht="43.2" x14ac:dyDescent="0.3">
      <c r="A25" s="9" t="s">
        <v>42</v>
      </c>
      <c r="B25" s="211">
        <v>92916</v>
      </c>
      <c r="C25" s="10" t="s">
        <v>21</v>
      </c>
      <c r="D25" s="31" t="s">
        <v>286</v>
      </c>
      <c r="E25" s="10" t="s">
        <v>50</v>
      </c>
      <c r="F25" s="11">
        <v>480.45</v>
      </c>
      <c r="G25" s="12">
        <v>15.66</v>
      </c>
      <c r="H25" s="12">
        <f t="shared" si="8"/>
        <v>19.2</v>
      </c>
      <c r="I25" s="13">
        <f t="shared" si="9"/>
        <v>9224.64</v>
      </c>
      <c r="K25" s="12">
        <v>15.4</v>
      </c>
      <c r="L25" s="54">
        <f t="shared" si="2"/>
        <v>14.9</v>
      </c>
    </row>
    <row r="26" spans="1:12" ht="43.2" x14ac:dyDescent="0.3">
      <c r="A26" s="9" t="s">
        <v>43</v>
      </c>
      <c r="B26" s="211">
        <v>92917</v>
      </c>
      <c r="C26" s="10" t="s">
        <v>21</v>
      </c>
      <c r="D26" s="31" t="s">
        <v>287</v>
      </c>
      <c r="E26" s="10" t="s">
        <v>50</v>
      </c>
      <c r="F26" s="11">
        <v>86.36</v>
      </c>
      <c r="G26" s="12">
        <v>14.02</v>
      </c>
      <c r="H26" s="12">
        <f t="shared" si="8"/>
        <v>17.190000000000001</v>
      </c>
      <c r="I26" s="13">
        <f t="shared" si="9"/>
        <v>1484.53</v>
      </c>
      <c r="K26" s="12">
        <v>14.29</v>
      </c>
      <c r="L26" s="54">
        <f t="shared" si="2"/>
        <v>13.83</v>
      </c>
    </row>
    <row r="27" spans="1:12" ht="43.2" x14ac:dyDescent="0.3">
      <c r="A27" s="9" t="s">
        <v>44</v>
      </c>
      <c r="B27" s="211">
        <v>92921</v>
      </c>
      <c r="C27" s="10" t="s">
        <v>21</v>
      </c>
      <c r="D27" s="31" t="s">
        <v>288</v>
      </c>
      <c r="E27" s="10" t="s">
        <v>50</v>
      </c>
      <c r="F27" s="11">
        <v>1078.56</v>
      </c>
      <c r="G27" s="12">
        <v>9.91</v>
      </c>
      <c r="H27" s="12">
        <f t="shared" si="8"/>
        <v>12.15</v>
      </c>
      <c r="I27" s="13">
        <f t="shared" ref="I27:I46" si="10">ROUND(H27*F27,2)</f>
        <v>13104.5</v>
      </c>
      <c r="K27" s="12">
        <v>10.67</v>
      </c>
      <c r="L27" s="54">
        <f t="shared" si="2"/>
        <v>10.32</v>
      </c>
    </row>
    <row r="28" spans="1:12" ht="43.2" x14ac:dyDescent="0.3">
      <c r="A28" s="9" t="s">
        <v>219</v>
      </c>
      <c r="B28" s="211">
        <v>92922</v>
      </c>
      <c r="C28" s="206" t="s">
        <v>21</v>
      </c>
      <c r="D28" s="31" t="s">
        <v>289</v>
      </c>
      <c r="E28" s="206" t="s">
        <v>50</v>
      </c>
      <c r="F28" s="11">
        <v>132.55000000000001</v>
      </c>
      <c r="G28" s="12">
        <v>9.39</v>
      </c>
      <c r="H28" s="12">
        <f t="shared" si="8"/>
        <v>11.51</v>
      </c>
      <c r="I28" s="13">
        <f t="shared" si="10"/>
        <v>1525.65</v>
      </c>
      <c r="K28" s="12"/>
      <c r="L28" s="54"/>
    </row>
    <row r="29" spans="1:12" ht="28.8" x14ac:dyDescent="0.3">
      <c r="A29" s="9" t="s">
        <v>45</v>
      </c>
      <c r="B29" s="211">
        <v>3106121</v>
      </c>
      <c r="C29" s="10" t="s">
        <v>29</v>
      </c>
      <c r="D29" s="31" t="s">
        <v>55</v>
      </c>
      <c r="E29" s="10" t="s">
        <v>54</v>
      </c>
      <c r="F29" s="11">
        <v>21.76</v>
      </c>
      <c r="G29" s="12">
        <v>92.19</v>
      </c>
      <c r="H29" s="12">
        <f t="shared" si="8"/>
        <v>113.01</v>
      </c>
      <c r="I29" s="13">
        <f t="shared" si="10"/>
        <v>2459.1</v>
      </c>
      <c r="K29" s="12">
        <v>81.59</v>
      </c>
      <c r="L29" s="54">
        <f t="shared" si="2"/>
        <v>78.94</v>
      </c>
    </row>
    <row r="30" spans="1:12" x14ac:dyDescent="0.3">
      <c r="A30" s="16" t="s">
        <v>56</v>
      </c>
      <c r="B30" s="17"/>
      <c r="C30" s="17"/>
      <c r="D30" s="18" t="s">
        <v>105</v>
      </c>
      <c r="E30" s="17"/>
      <c r="F30" s="19"/>
      <c r="G30" s="19"/>
      <c r="H30" s="20"/>
      <c r="I30" s="21">
        <f>SUM(I31:I37)</f>
        <v>75996.079999999987</v>
      </c>
      <c r="K30" s="20"/>
      <c r="L30" s="54">
        <f t="shared" si="2"/>
        <v>0</v>
      </c>
    </row>
    <row r="31" spans="1:12" ht="43.2" x14ac:dyDescent="0.3">
      <c r="A31" s="9" t="s">
        <v>216</v>
      </c>
      <c r="B31" s="211">
        <v>92917</v>
      </c>
      <c r="C31" s="10" t="s">
        <v>21</v>
      </c>
      <c r="D31" s="31" t="s">
        <v>290</v>
      </c>
      <c r="E31" s="10" t="s">
        <v>50</v>
      </c>
      <c r="F31" s="11">
        <v>407.78</v>
      </c>
      <c r="G31" s="12">
        <v>14.02</v>
      </c>
      <c r="H31" s="12">
        <f t="shared" ref="H31:H37" si="11">ROUND(G31*(1+H$6),2)</f>
        <v>17.190000000000001</v>
      </c>
      <c r="I31" s="13">
        <f t="shared" ref="I31:I37" si="12">ROUND(H31*F31,2)</f>
        <v>7009.74</v>
      </c>
      <c r="K31" s="12">
        <v>14.29</v>
      </c>
      <c r="L31" s="54">
        <f t="shared" si="2"/>
        <v>13.83</v>
      </c>
    </row>
    <row r="32" spans="1:12" ht="43.2" x14ac:dyDescent="0.3">
      <c r="A32" s="9" t="s">
        <v>57</v>
      </c>
      <c r="B32" s="211">
        <v>92919</v>
      </c>
      <c r="C32" s="10" t="s">
        <v>21</v>
      </c>
      <c r="D32" s="31" t="s">
        <v>291</v>
      </c>
      <c r="E32" s="10" t="s">
        <v>50</v>
      </c>
      <c r="F32" s="11">
        <v>700</v>
      </c>
      <c r="G32" s="12">
        <v>12.12</v>
      </c>
      <c r="H32" s="12">
        <f t="shared" si="11"/>
        <v>14.86</v>
      </c>
      <c r="I32" s="13">
        <f t="shared" ref="I32" si="13">ROUND(H32*F32,2)</f>
        <v>10402</v>
      </c>
      <c r="K32" s="12">
        <v>10.67</v>
      </c>
      <c r="L32" s="54">
        <f t="shared" si="2"/>
        <v>10.32</v>
      </c>
    </row>
    <row r="33" spans="1:12" ht="43.2" x14ac:dyDescent="0.3">
      <c r="A33" s="9" t="s">
        <v>59</v>
      </c>
      <c r="B33" s="211">
        <v>92921</v>
      </c>
      <c r="C33" s="10" t="s">
        <v>21</v>
      </c>
      <c r="D33" s="31" t="s">
        <v>292</v>
      </c>
      <c r="E33" s="10" t="s">
        <v>50</v>
      </c>
      <c r="F33" s="11">
        <v>43.14</v>
      </c>
      <c r="G33" s="12">
        <v>9.91</v>
      </c>
      <c r="H33" s="12">
        <f t="shared" si="11"/>
        <v>12.15</v>
      </c>
      <c r="I33" s="13">
        <f t="shared" si="12"/>
        <v>524.15</v>
      </c>
      <c r="K33" s="12">
        <v>10.67</v>
      </c>
      <c r="L33" s="54">
        <f t="shared" si="2"/>
        <v>10.32</v>
      </c>
    </row>
    <row r="34" spans="1:12" ht="43.2" x14ac:dyDescent="0.3">
      <c r="A34" s="9" t="s">
        <v>60</v>
      </c>
      <c r="B34" s="211">
        <v>92922</v>
      </c>
      <c r="C34" s="206" t="s">
        <v>21</v>
      </c>
      <c r="D34" s="31" t="s">
        <v>289</v>
      </c>
      <c r="E34" s="206" t="s">
        <v>50</v>
      </c>
      <c r="F34" s="11">
        <v>388.82</v>
      </c>
      <c r="G34" s="12">
        <v>9.39</v>
      </c>
      <c r="H34" s="12">
        <f t="shared" si="11"/>
        <v>11.51</v>
      </c>
      <c r="I34" s="13">
        <f t="shared" si="12"/>
        <v>4475.32</v>
      </c>
      <c r="K34" s="12"/>
      <c r="L34" s="54"/>
    </row>
    <row r="35" spans="1:12" ht="43.2" x14ac:dyDescent="0.3">
      <c r="A35" s="9" t="s">
        <v>214</v>
      </c>
      <c r="B35" s="211">
        <v>94966</v>
      </c>
      <c r="C35" s="223" t="s">
        <v>21</v>
      </c>
      <c r="D35" s="31" t="s">
        <v>339</v>
      </c>
      <c r="E35" s="10" t="s">
        <v>46</v>
      </c>
      <c r="F35" s="11">
        <v>32.65</v>
      </c>
      <c r="G35" s="12">
        <v>580.69000000000005</v>
      </c>
      <c r="H35" s="12">
        <f t="shared" si="11"/>
        <v>711.81</v>
      </c>
      <c r="I35" s="13">
        <f t="shared" si="12"/>
        <v>23240.6</v>
      </c>
      <c r="K35" s="12">
        <v>516.5</v>
      </c>
      <c r="L35" s="54">
        <f t="shared" si="2"/>
        <v>499.71</v>
      </c>
    </row>
    <row r="36" spans="1:12" ht="28.8" x14ac:dyDescent="0.3">
      <c r="A36" s="9" t="s">
        <v>61</v>
      </c>
      <c r="B36" s="211">
        <v>103670</v>
      </c>
      <c r="C36" s="10" t="s">
        <v>21</v>
      </c>
      <c r="D36" s="31" t="s">
        <v>293</v>
      </c>
      <c r="E36" s="10" t="s">
        <v>46</v>
      </c>
      <c r="F36" s="11">
        <v>32.65</v>
      </c>
      <c r="G36" s="12">
        <v>321.64</v>
      </c>
      <c r="H36" s="12">
        <f t="shared" si="11"/>
        <v>394.27</v>
      </c>
      <c r="I36" s="13">
        <f t="shared" si="12"/>
        <v>12872.92</v>
      </c>
      <c r="K36" s="12">
        <v>281.47000000000003</v>
      </c>
      <c r="L36" s="54">
        <f t="shared" si="2"/>
        <v>272.32</v>
      </c>
    </row>
    <row r="37" spans="1:12" ht="28.8" x14ac:dyDescent="0.3">
      <c r="A37" s="9" t="s">
        <v>62</v>
      </c>
      <c r="B37" s="211">
        <v>3106121</v>
      </c>
      <c r="C37" s="10" t="s">
        <v>29</v>
      </c>
      <c r="D37" s="31" t="s">
        <v>55</v>
      </c>
      <c r="E37" s="10" t="s">
        <v>54</v>
      </c>
      <c r="F37" s="11">
        <v>154.6</v>
      </c>
      <c r="G37" s="12">
        <v>92.19</v>
      </c>
      <c r="H37" s="12">
        <f t="shared" si="11"/>
        <v>113.01</v>
      </c>
      <c r="I37" s="13">
        <f t="shared" si="12"/>
        <v>17471.349999999999</v>
      </c>
      <c r="K37" s="12">
        <v>81.59</v>
      </c>
      <c r="L37" s="54">
        <f t="shared" si="2"/>
        <v>78.94</v>
      </c>
    </row>
    <row r="38" spans="1:12" x14ac:dyDescent="0.3">
      <c r="A38" s="16" t="s">
        <v>63</v>
      </c>
      <c r="B38" s="17"/>
      <c r="C38" s="17"/>
      <c r="D38" s="18" t="s">
        <v>89</v>
      </c>
      <c r="E38" s="17"/>
      <c r="F38" s="19"/>
      <c r="G38" s="19"/>
      <c r="H38" s="20"/>
      <c r="I38" s="21">
        <f>SUM(I39:I47)</f>
        <v>110331.97</v>
      </c>
      <c r="K38" s="20"/>
      <c r="L38" s="54">
        <f t="shared" si="2"/>
        <v>0</v>
      </c>
    </row>
    <row r="39" spans="1:12" ht="43.2" x14ac:dyDescent="0.3">
      <c r="A39" s="9" t="s">
        <v>211</v>
      </c>
      <c r="B39" s="211">
        <v>92917</v>
      </c>
      <c r="C39" s="10" t="s">
        <v>21</v>
      </c>
      <c r="D39" s="31" t="s">
        <v>290</v>
      </c>
      <c r="E39" s="10" t="s">
        <v>50</v>
      </c>
      <c r="F39" s="11">
        <v>195.65</v>
      </c>
      <c r="G39" s="12">
        <v>14.02</v>
      </c>
      <c r="H39" s="12">
        <f t="shared" ref="H39:H47" si="14">ROUND(G39*(1+H$6),2)</f>
        <v>17.190000000000001</v>
      </c>
      <c r="I39" s="13">
        <f t="shared" ref="I39:I45" si="15">ROUND(H39*F39,2)</f>
        <v>3363.22</v>
      </c>
      <c r="K39" s="12">
        <v>12.69</v>
      </c>
      <c r="L39" s="54">
        <f t="shared" si="2"/>
        <v>12.28</v>
      </c>
    </row>
    <row r="40" spans="1:12" ht="43.2" x14ac:dyDescent="0.3">
      <c r="A40" s="9" t="s">
        <v>64</v>
      </c>
      <c r="B40" s="211">
        <v>92919</v>
      </c>
      <c r="C40" s="10" t="s">
        <v>21</v>
      </c>
      <c r="D40" s="31" t="s">
        <v>291</v>
      </c>
      <c r="E40" s="10" t="s">
        <v>50</v>
      </c>
      <c r="F40" s="11">
        <f>81.68+207.31</f>
        <v>288.99</v>
      </c>
      <c r="G40" s="12">
        <v>12.12</v>
      </c>
      <c r="H40" s="12">
        <f t="shared" si="14"/>
        <v>14.86</v>
      </c>
      <c r="I40" s="13">
        <f t="shared" si="15"/>
        <v>4294.3900000000003</v>
      </c>
      <c r="K40" s="12">
        <v>10.67</v>
      </c>
      <c r="L40" s="54">
        <f t="shared" si="2"/>
        <v>10.32</v>
      </c>
    </row>
    <row r="41" spans="1:12" ht="43.2" x14ac:dyDescent="0.3">
      <c r="A41" s="9" t="s">
        <v>65</v>
      </c>
      <c r="B41" s="211">
        <v>92924</v>
      </c>
      <c r="C41" s="10" t="s">
        <v>21</v>
      </c>
      <c r="D41" s="31" t="s">
        <v>294</v>
      </c>
      <c r="E41" s="10" t="s">
        <v>50</v>
      </c>
      <c r="F41" s="11">
        <v>1029.52</v>
      </c>
      <c r="G41" s="12">
        <v>10.23</v>
      </c>
      <c r="H41" s="12">
        <f t="shared" si="14"/>
        <v>12.54</v>
      </c>
      <c r="I41" s="13">
        <f t="shared" si="15"/>
        <v>12910.18</v>
      </c>
      <c r="K41" s="12">
        <v>10.86</v>
      </c>
      <c r="L41" s="54">
        <f t="shared" si="2"/>
        <v>10.51</v>
      </c>
    </row>
    <row r="42" spans="1:12" ht="43.2" x14ac:dyDescent="0.3">
      <c r="A42" s="9" t="s">
        <v>207</v>
      </c>
      <c r="B42" s="211">
        <v>94966</v>
      </c>
      <c r="C42" s="223" t="s">
        <v>21</v>
      </c>
      <c r="D42" s="31" t="s">
        <v>339</v>
      </c>
      <c r="E42" s="10" t="s">
        <v>46</v>
      </c>
      <c r="F42" s="11">
        <v>4.4000000000000004</v>
      </c>
      <c r="G42" s="12">
        <v>580.69000000000005</v>
      </c>
      <c r="H42" s="12">
        <f t="shared" si="14"/>
        <v>711.81</v>
      </c>
      <c r="I42" s="13">
        <f t="shared" si="15"/>
        <v>3131.96</v>
      </c>
      <c r="K42" s="12">
        <v>430.8</v>
      </c>
      <c r="L42" s="54">
        <f t="shared" si="2"/>
        <v>416.8</v>
      </c>
    </row>
    <row r="43" spans="1:12" ht="28.8" x14ac:dyDescent="0.3">
      <c r="A43" s="9" t="s">
        <v>66</v>
      </c>
      <c r="B43" s="211">
        <v>103670</v>
      </c>
      <c r="C43" s="10" t="s">
        <v>21</v>
      </c>
      <c r="D43" s="31" t="s">
        <v>293</v>
      </c>
      <c r="E43" s="10" t="s">
        <v>46</v>
      </c>
      <c r="F43" s="11">
        <v>4.4000000000000004</v>
      </c>
      <c r="G43" s="12">
        <v>321.64</v>
      </c>
      <c r="H43" s="12">
        <f t="shared" si="14"/>
        <v>394.27</v>
      </c>
      <c r="I43" s="13">
        <f t="shared" si="15"/>
        <v>1734.79</v>
      </c>
      <c r="K43" s="12">
        <v>257.97000000000003</v>
      </c>
      <c r="L43" s="54">
        <f t="shared" si="2"/>
        <v>249.59</v>
      </c>
    </row>
    <row r="44" spans="1:12" ht="28.8" x14ac:dyDescent="0.3">
      <c r="A44" s="9" t="s">
        <v>67</v>
      </c>
      <c r="B44" s="211">
        <v>3106121</v>
      </c>
      <c r="C44" s="209" t="s">
        <v>29</v>
      </c>
      <c r="D44" s="31" t="s">
        <v>55</v>
      </c>
      <c r="E44" s="10" t="s">
        <v>54</v>
      </c>
      <c r="F44" s="11">
        <v>82.65</v>
      </c>
      <c r="G44" s="12">
        <v>92.192999999999998</v>
      </c>
      <c r="H44" s="12">
        <f t="shared" si="14"/>
        <v>113.01</v>
      </c>
      <c r="I44" s="13">
        <f t="shared" si="15"/>
        <v>9340.2800000000007</v>
      </c>
      <c r="K44" s="12">
        <v>81.59</v>
      </c>
      <c r="L44" s="54">
        <f t="shared" si="2"/>
        <v>78.94</v>
      </c>
    </row>
    <row r="45" spans="1:12" x14ac:dyDescent="0.3">
      <c r="A45" s="9" t="s">
        <v>68</v>
      </c>
      <c r="B45" s="211" t="s">
        <v>75</v>
      </c>
      <c r="C45" s="10" t="s">
        <v>76</v>
      </c>
      <c r="D45" s="31" t="s">
        <v>334</v>
      </c>
      <c r="E45" s="10" t="s">
        <v>54</v>
      </c>
      <c r="F45" s="11">
        <f>50.4+12</f>
        <v>62.4</v>
      </c>
      <c r="G45" s="12">
        <v>553.04999999999995</v>
      </c>
      <c r="H45" s="12">
        <f t="shared" si="14"/>
        <v>677.93</v>
      </c>
      <c r="I45" s="13">
        <f t="shared" si="15"/>
        <v>42302.83</v>
      </c>
      <c r="K45" s="12">
        <v>434.17</v>
      </c>
      <c r="L45" s="54">
        <f t="shared" si="2"/>
        <v>420.06</v>
      </c>
    </row>
    <row r="46" spans="1:12" ht="28.8" x14ac:dyDescent="0.3">
      <c r="A46" s="9" t="s">
        <v>69</v>
      </c>
      <c r="B46" s="211">
        <v>2108169</v>
      </c>
      <c r="C46" s="10" t="s">
        <v>29</v>
      </c>
      <c r="D46" s="31" t="s">
        <v>72</v>
      </c>
      <c r="E46" s="10" t="s">
        <v>46</v>
      </c>
      <c r="F46" s="11">
        <v>161.28</v>
      </c>
      <c r="G46" s="12">
        <v>49.06</v>
      </c>
      <c r="H46" s="12">
        <f t="shared" si="14"/>
        <v>60.14</v>
      </c>
      <c r="I46" s="13">
        <f t="shared" si="10"/>
        <v>9699.3799999999992</v>
      </c>
      <c r="K46" s="12">
        <v>48.62</v>
      </c>
      <c r="L46" s="54">
        <f t="shared" si="2"/>
        <v>47.04</v>
      </c>
    </row>
    <row r="47" spans="1:12" ht="28.8" x14ac:dyDescent="0.3">
      <c r="A47" s="9" t="s">
        <v>70</v>
      </c>
      <c r="B47" s="211">
        <v>307732</v>
      </c>
      <c r="C47" s="10" t="s">
        <v>29</v>
      </c>
      <c r="D47" s="31" t="s">
        <v>74</v>
      </c>
      <c r="E47" s="10" t="s">
        <v>73</v>
      </c>
      <c r="F47" s="11">
        <v>161.28</v>
      </c>
      <c r="G47" s="12">
        <v>119.15</v>
      </c>
      <c r="H47" s="12">
        <f t="shared" si="14"/>
        <v>146.05000000000001</v>
      </c>
      <c r="I47" s="13">
        <f t="shared" ref="I47" si="16">ROUND(H47*F47,2)</f>
        <v>23554.94</v>
      </c>
      <c r="K47" s="12">
        <v>78.98</v>
      </c>
      <c r="L47" s="54">
        <f t="shared" si="2"/>
        <v>76.41</v>
      </c>
    </row>
    <row r="48" spans="1:12" x14ac:dyDescent="0.3">
      <c r="A48" s="16" t="s">
        <v>77</v>
      </c>
      <c r="B48" s="17"/>
      <c r="C48" s="17"/>
      <c r="D48" s="18" t="s">
        <v>90</v>
      </c>
      <c r="E48" s="17"/>
      <c r="F48" s="19"/>
      <c r="G48" s="19"/>
      <c r="H48" s="20"/>
      <c r="I48" s="21">
        <f>SUM(I49:I54)</f>
        <v>12391.34</v>
      </c>
      <c r="K48" s="20"/>
      <c r="L48" s="54">
        <f t="shared" si="2"/>
        <v>0</v>
      </c>
    </row>
    <row r="49" spans="1:12" x14ac:dyDescent="0.3">
      <c r="A49" s="9" t="s">
        <v>78</v>
      </c>
      <c r="B49" s="211">
        <v>3808043</v>
      </c>
      <c r="C49" s="10" t="s">
        <v>29</v>
      </c>
      <c r="D49" s="31" t="s">
        <v>81</v>
      </c>
      <c r="E49" s="10" t="s">
        <v>54</v>
      </c>
      <c r="F49" s="11">
        <v>116.4</v>
      </c>
      <c r="G49" s="12">
        <v>4.3</v>
      </c>
      <c r="H49" s="12">
        <f>ROUND(G49*(1+H$6),2)</f>
        <v>5.27</v>
      </c>
      <c r="I49" s="13">
        <f t="shared" ref="I49:I54" si="17">ROUND(H49*F49,2)</f>
        <v>613.42999999999995</v>
      </c>
      <c r="K49" s="12">
        <v>3.56</v>
      </c>
      <c r="L49" s="54">
        <f t="shared" si="2"/>
        <v>3.44</v>
      </c>
    </row>
    <row r="50" spans="1:12" x14ac:dyDescent="0.3">
      <c r="A50" s="9" t="s">
        <v>79</v>
      </c>
      <c r="B50" s="221">
        <v>2006408</v>
      </c>
      <c r="C50" s="216" t="s">
        <v>29</v>
      </c>
      <c r="D50" s="31" t="s">
        <v>106</v>
      </c>
      <c r="E50" s="209" t="s">
        <v>48</v>
      </c>
      <c r="F50" s="11">
        <v>4.8</v>
      </c>
      <c r="G50" s="12">
        <v>70.67</v>
      </c>
      <c r="H50" s="12">
        <f>ROUND(G50*(1+H$6),2)</f>
        <v>86.63</v>
      </c>
      <c r="I50" s="13">
        <f t="shared" si="17"/>
        <v>415.82</v>
      </c>
      <c r="K50" s="12">
        <v>87.93</v>
      </c>
      <c r="L50" s="54">
        <f t="shared" si="2"/>
        <v>85.07</v>
      </c>
    </row>
    <row r="51" spans="1:12" ht="72" x14ac:dyDescent="0.3">
      <c r="A51" s="9" t="s">
        <v>80</v>
      </c>
      <c r="B51" s="211">
        <v>99837</v>
      </c>
      <c r="C51" s="216" t="s">
        <v>21</v>
      </c>
      <c r="D51" s="31" t="s">
        <v>314</v>
      </c>
      <c r="E51" s="216" t="s">
        <v>48</v>
      </c>
      <c r="F51" s="11">
        <v>12</v>
      </c>
      <c r="G51" s="12">
        <v>709.44</v>
      </c>
      <c r="H51" s="12">
        <f>ROUND(G51*(1+H$6),2)</f>
        <v>869.63</v>
      </c>
      <c r="I51" s="13">
        <f t="shared" si="17"/>
        <v>10435.56</v>
      </c>
      <c r="K51" s="12"/>
      <c r="L51" s="54"/>
    </row>
    <row r="52" spans="1:12" ht="43.2" x14ac:dyDescent="0.3">
      <c r="A52" s="9" t="s">
        <v>295</v>
      </c>
      <c r="B52" s="211">
        <v>103698</v>
      </c>
      <c r="C52" s="210" t="s">
        <v>21</v>
      </c>
      <c r="D52" s="31" t="s">
        <v>299</v>
      </c>
      <c r="E52" s="210" t="s">
        <v>54</v>
      </c>
      <c r="F52" s="11">
        <f>0.29*2</f>
        <v>0.57999999999999996</v>
      </c>
      <c r="G52" s="12">
        <v>502.02</v>
      </c>
      <c r="H52" s="12">
        <f t="shared" ref="H52:H53" si="18">ROUND(G52*(1+H$6),2)</f>
        <v>615.38</v>
      </c>
      <c r="I52" s="13">
        <f t="shared" ref="I52:I53" si="19">ROUND(H52*F52,2)</f>
        <v>356.92</v>
      </c>
      <c r="K52" s="12"/>
      <c r="L52" s="54"/>
    </row>
    <row r="53" spans="1:12" ht="43.2" x14ac:dyDescent="0.3">
      <c r="A53" s="9" t="s">
        <v>297</v>
      </c>
      <c r="B53" s="211">
        <v>103690</v>
      </c>
      <c r="C53" s="210" t="s">
        <v>21</v>
      </c>
      <c r="D53" s="31" t="s">
        <v>300</v>
      </c>
      <c r="E53" s="210" t="s">
        <v>8</v>
      </c>
      <c r="F53" s="11">
        <v>2</v>
      </c>
      <c r="G53" s="12">
        <v>116.02</v>
      </c>
      <c r="H53" s="12">
        <f t="shared" si="18"/>
        <v>142.22</v>
      </c>
      <c r="I53" s="13">
        <f t="shared" si="19"/>
        <v>284.44</v>
      </c>
      <c r="K53" s="12"/>
      <c r="L53" s="54"/>
    </row>
    <row r="54" spans="1:12" x14ac:dyDescent="0.3">
      <c r="A54" s="9" t="s">
        <v>315</v>
      </c>
      <c r="B54" s="211">
        <v>99811</v>
      </c>
      <c r="C54" s="10" t="s">
        <v>21</v>
      </c>
      <c r="D54" s="31" t="s">
        <v>82</v>
      </c>
      <c r="E54" s="10" t="s">
        <v>54</v>
      </c>
      <c r="F54" s="11">
        <v>62.4</v>
      </c>
      <c r="G54" s="12">
        <v>3.73</v>
      </c>
      <c r="H54" s="12">
        <f>ROUND(G54*(1+H$6),2)</f>
        <v>4.57</v>
      </c>
      <c r="I54" s="13">
        <f t="shared" si="17"/>
        <v>285.17</v>
      </c>
      <c r="K54" s="12">
        <v>2.97</v>
      </c>
      <c r="L54" s="54">
        <f t="shared" si="2"/>
        <v>2.87</v>
      </c>
    </row>
    <row r="55" spans="1:12" x14ac:dyDescent="0.3">
      <c r="A55" s="16" t="s">
        <v>83</v>
      </c>
      <c r="B55" s="17"/>
      <c r="C55" s="17"/>
      <c r="D55" s="18" t="s">
        <v>87</v>
      </c>
      <c r="E55" s="17"/>
      <c r="F55" s="19"/>
      <c r="G55" s="19"/>
      <c r="H55" s="20"/>
      <c r="I55" s="21">
        <f>SUM(I56:I59)</f>
        <v>26377.41</v>
      </c>
      <c r="K55" s="20"/>
      <c r="L55" s="54">
        <f t="shared" si="2"/>
        <v>0</v>
      </c>
    </row>
    <row r="56" spans="1:12" ht="43.2" x14ac:dyDescent="0.3">
      <c r="A56" s="9" t="s">
        <v>84</v>
      </c>
      <c r="B56" s="211">
        <v>93590</v>
      </c>
      <c r="C56" s="10" t="s">
        <v>21</v>
      </c>
      <c r="D56" s="31" t="s">
        <v>108</v>
      </c>
      <c r="E56" s="10" t="s">
        <v>266</v>
      </c>
      <c r="F56" s="11">
        <v>10403.64</v>
      </c>
      <c r="G56" s="12">
        <v>1</v>
      </c>
      <c r="H56" s="12">
        <f t="shared" ref="H56:H59" si="20">ROUND(G56*(1+H$6),2)</f>
        <v>1.23</v>
      </c>
      <c r="I56" s="13">
        <f t="shared" ref="I56:I59" si="21">ROUND(H56*F56,2)</f>
        <v>12796.48</v>
      </c>
      <c r="K56" s="12">
        <v>0.83</v>
      </c>
      <c r="L56" s="54">
        <f t="shared" si="2"/>
        <v>0.8</v>
      </c>
    </row>
    <row r="57" spans="1:12" ht="43.2" x14ac:dyDescent="0.3">
      <c r="A57" s="9" t="s">
        <v>85</v>
      </c>
      <c r="B57" s="211">
        <v>93590</v>
      </c>
      <c r="C57" s="10" t="s">
        <v>21</v>
      </c>
      <c r="D57" s="31" t="s">
        <v>109</v>
      </c>
      <c r="E57" s="206" t="s">
        <v>266</v>
      </c>
      <c r="F57" s="11">
        <v>4088.45</v>
      </c>
      <c r="G57" s="12">
        <v>1</v>
      </c>
      <c r="H57" s="12">
        <f t="shared" si="20"/>
        <v>1.23</v>
      </c>
      <c r="I57" s="13">
        <f t="shared" si="21"/>
        <v>5028.79</v>
      </c>
      <c r="K57" s="12">
        <v>0.83</v>
      </c>
      <c r="L57" s="54">
        <f t="shared" si="2"/>
        <v>0.8</v>
      </c>
    </row>
    <row r="58" spans="1:12" ht="43.2" x14ac:dyDescent="0.3">
      <c r="A58" s="9" t="s">
        <v>86</v>
      </c>
      <c r="B58" s="211">
        <v>100948</v>
      </c>
      <c r="C58" s="10" t="s">
        <v>21</v>
      </c>
      <c r="D58" s="31" t="s">
        <v>110</v>
      </c>
      <c r="E58" s="10" t="s">
        <v>267</v>
      </c>
      <c r="F58" s="11">
        <v>7236.9</v>
      </c>
      <c r="G58" s="12">
        <v>0.9</v>
      </c>
      <c r="H58" s="12">
        <f t="shared" si="20"/>
        <v>1.1000000000000001</v>
      </c>
      <c r="I58" s="13">
        <f t="shared" si="21"/>
        <v>7960.59</v>
      </c>
      <c r="K58" s="12">
        <v>0.74</v>
      </c>
      <c r="L58" s="54">
        <f t="shared" si="2"/>
        <v>0.72</v>
      </c>
    </row>
    <row r="59" spans="1:12" ht="43.8" thickBot="1" x14ac:dyDescent="0.35">
      <c r="A59" s="9" t="s">
        <v>88</v>
      </c>
      <c r="B59" s="211">
        <v>100948</v>
      </c>
      <c r="C59" s="10" t="s">
        <v>21</v>
      </c>
      <c r="D59" s="31" t="s">
        <v>107</v>
      </c>
      <c r="E59" s="206" t="s">
        <v>267</v>
      </c>
      <c r="F59" s="11">
        <v>537.77</v>
      </c>
      <c r="G59" s="12">
        <v>0.9</v>
      </c>
      <c r="H59" s="12">
        <f t="shared" si="20"/>
        <v>1.1000000000000001</v>
      </c>
      <c r="I59" s="13">
        <f t="shared" si="21"/>
        <v>591.54999999999995</v>
      </c>
      <c r="K59" s="12">
        <v>0.74</v>
      </c>
      <c r="L59" s="54">
        <f t="shared" si="2"/>
        <v>0.72</v>
      </c>
    </row>
    <row r="60" spans="1:12" ht="15" thickBot="1" x14ac:dyDescent="0.35">
      <c r="A60" s="24"/>
      <c r="B60" s="25"/>
      <c r="C60" s="25"/>
      <c r="D60" s="25"/>
      <c r="E60" s="25"/>
      <c r="F60" s="25"/>
      <c r="G60" s="25"/>
      <c r="H60" s="5" t="s">
        <v>3</v>
      </c>
      <c r="I60" s="22">
        <f>SUMIF(B10:B59,"",I10:I59)</f>
        <v>370147.98</v>
      </c>
    </row>
    <row r="61" spans="1:12" x14ac:dyDescent="0.3">
      <c r="A61" s="26"/>
      <c r="B61" s="252" t="str">
        <f ca="1">"São João do Paraíso - MG, "&amp;TEXT(TODAY(),"DD")&amp;" de "&amp;TEXT(TODAY(),"MMMM")&amp;" de "&amp;TEXT(TODAY(),"AAAA")</f>
        <v>São João do Paraíso - MG, 01 de outubro de 2025</v>
      </c>
      <c r="C61" s="252"/>
      <c r="D61" s="252"/>
      <c r="I61" s="27"/>
    </row>
    <row r="62" spans="1:12" x14ac:dyDescent="0.3">
      <c r="A62" s="26"/>
      <c r="B62" s="79"/>
      <c r="C62" s="79"/>
      <c r="D62" s="79"/>
      <c r="I62" s="27"/>
    </row>
    <row r="63" spans="1:12" x14ac:dyDescent="0.3">
      <c r="A63" s="26"/>
      <c r="B63" s="79"/>
      <c r="C63" s="79"/>
      <c r="D63" s="79"/>
      <c r="I63" s="27"/>
    </row>
    <row r="64" spans="1:12" x14ac:dyDescent="0.3">
      <c r="A64" s="26"/>
      <c r="I64" s="27"/>
    </row>
    <row r="65" spans="1:9" x14ac:dyDescent="0.3">
      <c r="A65" s="26"/>
      <c r="B65" s="233" t="s">
        <v>139</v>
      </c>
      <c r="C65" s="233"/>
      <c r="D65" s="233"/>
      <c r="E65" s="250" t="s">
        <v>304</v>
      </c>
      <c r="F65" s="250"/>
      <c r="I65" s="27"/>
    </row>
    <row r="66" spans="1:9" x14ac:dyDescent="0.3">
      <c r="A66" s="26"/>
      <c r="B66" s="235" t="s">
        <v>303</v>
      </c>
      <c r="C66" s="251"/>
      <c r="D66" s="251"/>
      <c r="E66" s="237" t="s">
        <v>136</v>
      </c>
      <c r="F66" s="237"/>
      <c r="I66" s="27"/>
    </row>
    <row r="67" spans="1:9" x14ac:dyDescent="0.3">
      <c r="A67" s="26"/>
      <c r="B67" s="91"/>
      <c r="C67" s="92"/>
      <c r="D67" s="92"/>
      <c r="E67" s="89"/>
      <c r="F67" s="89"/>
      <c r="I67" s="27"/>
    </row>
    <row r="68" spans="1:9" x14ac:dyDescent="0.3">
      <c r="A68" s="26"/>
      <c r="B68" s="91"/>
      <c r="C68" s="92"/>
      <c r="D68" s="92"/>
      <c r="E68" s="89"/>
      <c r="F68" s="89"/>
      <c r="I68" s="27"/>
    </row>
    <row r="69" spans="1:9" x14ac:dyDescent="0.3">
      <c r="A69" s="26"/>
      <c r="B69" s="88"/>
      <c r="C69" s="88"/>
      <c r="D69" s="88"/>
      <c r="E69" s="88"/>
      <c r="F69" s="88"/>
      <c r="I69" s="27"/>
    </row>
    <row r="70" spans="1:9" x14ac:dyDescent="0.3">
      <c r="A70" s="26"/>
      <c r="B70" s="233" t="s">
        <v>138</v>
      </c>
      <c r="C70" s="233"/>
      <c r="D70" s="233"/>
      <c r="E70" s="234"/>
      <c r="F70" s="234"/>
      <c r="I70" s="27"/>
    </row>
    <row r="71" spans="1:9" x14ac:dyDescent="0.3">
      <c r="A71" s="26"/>
      <c r="B71" s="235" t="s">
        <v>137</v>
      </c>
      <c r="C71" s="236"/>
      <c r="D71" s="236"/>
      <c r="E71" s="237"/>
      <c r="F71" s="237"/>
      <c r="I71" s="27"/>
    </row>
    <row r="72" spans="1:9" x14ac:dyDescent="0.3">
      <c r="A72" s="26"/>
      <c r="B72" s="89"/>
      <c r="C72" s="89"/>
      <c r="D72" s="90"/>
      <c r="E72" s="89"/>
      <c r="F72" s="89"/>
      <c r="I72" s="27"/>
    </row>
    <row r="73" spans="1:9" x14ac:dyDescent="0.3">
      <c r="A73" s="26"/>
      <c r="I73" s="27"/>
    </row>
    <row r="74" spans="1:9" ht="15" thickBot="1" x14ac:dyDescent="0.35">
      <c r="A74" s="28"/>
      <c r="B74" s="29"/>
      <c r="C74" s="29"/>
      <c r="D74" s="29"/>
      <c r="E74" s="29"/>
      <c r="F74" s="29"/>
      <c r="G74" s="29"/>
      <c r="H74" s="29"/>
      <c r="I74" s="30"/>
    </row>
  </sheetData>
  <mergeCells count="20">
    <mergeCell ref="D1:I1"/>
    <mergeCell ref="A1:C7"/>
    <mergeCell ref="B65:D65"/>
    <mergeCell ref="E65:F65"/>
    <mergeCell ref="B66:D66"/>
    <mergeCell ref="E66:F66"/>
    <mergeCell ref="B61:D61"/>
    <mergeCell ref="D2:I2"/>
    <mergeCell ref="A8:I8"/>
    <mergeCell ref="E5:G5"/>
    <mergeCell ref="E6:G6"/>
    <mergeCell ref="E7:G7"/>
    <mergeCell ref="H5:I5"/>
    <mergeCell ref="H6:I7"/>
    <mergeCell ref="D3:I3"/>
    <mergeCell ref="D4:I4"/>
    <mergeCell ref="B70:D70"/>
    <mergeCell ref="E70:F70"/>
    <mergeCell ref="B71:D71"/>
    <mergeCell ref="E71:F71"/>
  </mergeCells>
  <phoneticPr fontId="2" type="noConversion"/>
  <pageMargins left="0.511811024" right="0.511811024" top="0.78740157499999996" bottom="0.78740157499999996" header="0.31496062000000002" footer="0.31496062000000002"/>
  <pageSetup paperSize="9" scale="53" fitToHeight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zoomScaleNormal="89" zoomScaleSheetLayoutView="100" workbookViewId="0">
      <selection activeCell="F20" sqref="F20"/>
    </sheetView>
  </sheetViews>
  <sheetFormatPr defaultRowHeight="14.4" x14ac:dyDescent="0.3"/>
  <cols>
    <col min="2" max="2" width="13.6640625" customWidth="1"/>
    <col min="3" max="3" width="23.109375" customWidth="1"/>
    <col min="4" max="4" width="69.109375" customWidth="1"/>
    <col min="6" max="9" width="15.44140625" customWidth="1"/>
    <col min="11" max="11" width="12" customWidth="1"/>
    <col min="12" max="12" width="17" customWidth="1"/>
    <col min="13" max="13" width="12" customWidth="1"/>
  </cols>
  <sheetData>
    <row r="1" spans="1:13" ht="16.2" thickBot="1" x14ac:dyDescent="0.35">
      <c r="A1" s="241"/>
      <c r="B1" s="242"/>
      <c r="C1" s="243"/>
      <c r="D1" s="283" t="s">
        <v>91</v>
      </c>
      <c r="E1" s="283"/>
      <c r="F1" s="283"/>
      <c r="G1" s="283"/>
      <c r="H1" s="283"/>
      <c r="I1" s="283"/>
      <c r="J1" s="283"/>
      <c r="K1" s="283"/>
      <c r="L1" s="283"/>
      <c r="M1" s="284"/>
    </row>
    <row r="2" spans="1:13" ht="15.6" x14ac:dyDescent="0.3">
      <c r="A2" s="244"/>
      <c r="B2" s="245"/>
      <c r="C2" s="246"/>
      <c r="D2" s="285" t="s">
        <v>17</v>
      </c>
      <c r="E2" s="253"/>
      <c r="F2" s="253"/>
      <c r="G2" s="253"/>
      <c r="H2" s="253"/>
      <c r="I2" s="253"/>
      <c r="J2" s="253"/>
      <c r="K2" s="253"/>
      <c r="L2" s="253"/>
      <c r="M2" s="286"/>
    </row>
    <row r="3" spans="1:13" ht="15.6" x14ac:dyDescent="0.3">
      <c r="A3" s="244"/>
      <c r="B3" s="245"/>
      <c r="C3" s="246"/>
      <c r="D3" s="287" t="s">
        <v>18</v>
      </c>
      <c r="E3" s="228"/>
      <c r="F3" s="228"/>
      <c r="G3" s="228"/>
      <c r="H3" s="228"/>
      <c r="I3" s="228"/>
      <c r="J3" s="228"/>
      <c r="K3" s="228"/>
      <c r="L3" s="228"/>
      <c r="M3" s="230"/>
    </row>
    <row r="4" spans="1:13" ht="15.6" x14ac:dyDescent="0.3">
      <c r="A4" s="244"/>
      <c r="B4" s="245"/>
      <c r="C4" s="246"/>
      <c r="D4" s="287" t="s">
        <v>19</v>
      </c>
      <c r="E4" s="228"/>
      <c r="F4" s="228"/>
      <c r="G4" s="228"/>
      <c r="H4" s="228"/>
      <c r="I4" s="228"/>
      <c r="J4" s="228"/>
      <c r="K4" s="228"/>
      <c r="L4" s="228"/>
      <c r="M4" s="230"/>
    </row>
    <row r="5" spans="1:13" ht="15" customHeight="1" x14ac:dyDescent="0.3">
      <c r="A5" s="244"/>
      <c r="B5" s="245"/>
      <c r="C5" s="246"/>
      <c r="D5" s="98" t="s">
        <v>333</v>
      </c>
      <c r="E5" s="288" t="s">
        <v>1</v>
      </c>
      <c r="F5" s="288"/>
      <c r="G5" s="288"/>
      <c r="H5" s="273" t="s">
        <v>302</v>
      </c>
      <c r="I5" s="274"/>
      <c r="J5" s="274"/>
      <c r="K5" s="274"/>
      <c r="L5" s="274"/>
      <c r="M5" s="275"/>
    </row>
    <row r="6" spans="1:13" ht="26.4" customHeight="1" x14ac:dyDescent="0.3">
      <c r="A6" s="244"/>
      <c r="B6" s="245"/>
      <c r="C6" s="246"/>
      <c r="D6" s="96" t="s">
        <v>141</v>
      </c>
      <c r="E6" s="260" t="s">
        <v>313</v>
      </c>
      <c r="F6" s="260"/>
      <c r="G6" s="260"/>
      <c r="H6" s="276"/>
      <c r="I6" s="277"/>
      <c r="J6" s="277"/>
      <c r="K6" s="277"/>
      <c r="L6" s="277"/>
      <c r="M6" s="278"/>
    </row>
    <row r="7" spans="1:13" ht="15" customHeight="1" thickBot="1" x14ac:dyDescent="0.35">
      <c r="A7" s="247"/>
      <c r="B7" s="248"/>
      <c r="C7" s="249"/>
      <c r="D7" s="97" t="s">
        <v>140</v>
      </c>
      <c r="E7" s="261" t="s">
        <v>298</v>
      </c>
      <c r="F7" s="261"/>
      <c r="G7" s="261"/>
      <c r="H7" s="279"/>
      <c r="I7" s="280"/>
      <c r="J7" s="280"/>
      <c r="K7" s="280"/>
      <c r="L7" s="280"/>
      <c r="M7" s="281"/>
    </row>
    <row r="8" spans="1:13" ht="15" thickBot="1" x14ac:dyDescent="0.35">
      <c r="A8" s="289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1"/>
    </row>
    <row r="9" spans="1:13" x14ac:dyDescent="0.3">
      <c r="A9" s="45" t="s">
        <v>4</v>
      </c>
      <c r="B9" s="46" t="s">
        <v>7</v>
      </c>
      <c r="C9" s="81" t="s">
        <v>92</v>
      </c>
      <c r="D9" s="46" t="s">
        <v>93</v>
      </c>
      <c r="E9" s="292" t="s">
        <v>94</v>
      </c>
      <c r="F9" s="292"/>
      <c r="G9" s="292"/>
      <c r="H9" s="292" t="s">
        <v>95</v>
      </c>
      <c r="I9" s="292"/>
      <c r="J9" s="292"/>
      <c r="K9" s="292" t="s">
        <v>96</v>
      </c>
      <c r="L9" s="292"/>
      <c r="M9" s="293"/>
    </row>
    <row r="10" spans="1:13" x14ac:dyDescent="0.3">
      <c r="A10" s="37"/>
      <c r="B10" s="271"/>
      <c r="C10" s="272"/>
      <c r="D10" s="32"/>
      <c r="E10" s="47" t="s">
        <v>92</v>
      </c>
      <c r="F10" s="288" t="s">
        <v>102</v>
      </c>
      <c r="G10" s="288"/>
      <c r="H10" s="47" t="s">
        <v>92</v>
      </c>
      <c r="I10" s="288"/>
      <c r="J10" s="288"/>
      <c r="K10" s="47" t="s">
        <v>92</v>
      </c>
      <c r="L10" s="288" t="s">
        <v>102</v>
      </c>
      <c r="M10" s="295"/>
    </row>
    <row r="11" spans="1:13" x14ac:dyDescent="0.3">
      <c r="A11" s="42">
        <v>1</v>
      </c>
      <c r="B11" s="267" t="s">
        <v>97</v>
      </c>
      <c r="C11" s="268"/>
      <c r="D11" s="33">
        <f>ORÇAMENTO!I10</f>
        <v>2769.21</v>
      </c>
      <c r="E11" s="48">
        <v>1</v>
      </c>
      <c r="F11" s="282">
        <f>D11*E11</f>
        <v>2769.21</v>
      </c>
      <c r="G11" s="282"/>
      <c r="H11" s="49"/>
      <c r="I11" s="282">
        <f t="shared" ref="I11:I12" si="0">D11*H11</f>
        <v>0</v>
      </c>
      <c r="J11" s="282"/>
      <c r="K11" s="48"/>
      <c r="L11" s="282">
        <f>D11*K11</f>
        <v>0</v>
      </c>
      <c r="M11" s="294"/>
    </row>
    <row r="12" spans="1:13" x14ac:dyDescent="0.3">
      <c r="A12" s="42">
        <v>2</v>
      </c>
      <c r="B12" s="267" t="s">
        <v>27</v>
      </c>
      <c r="C12" s="268"/>
      <c r="D12" s="33">
        <f>ORÇAMENTO!I12</f>
        <v>6098.4</v>
      </c>
      <c r="E12" s="48">
        <v>0.5</v>
      </c>
      <c r="F12" s="282">
        <f>D12*E12</f>
        <v>3049.2</v>
      </c>
      <c r="G12" s="282"/>
      <c r="H12" s="49"/>
      <c r="I12" s="282">
        <f t="shared" si="0"/>
        <v>0</v>
      </c>
      <c r="J12" s="282"/>
      <c r="K12" s="48">
        <v>0.5</v>
      </c>
      <c r="L12" s="282">
        <f t="shared" ref="L12:L18" si="1">D12*K12</f>
        <v>3049.2</v>
      </c>
      <c r="M12" s="294"/>
    </row>
    <row r="13" spans="1:13" x14ac:dyDescent="0.3">
      <c r="A13" s="42">
        <v>3</v>
      </c>
      <c r="B13" s="267" t="s">
        <v>98</v>
      </c>
      <c r="C13" s="268"/>
      <c r="D13" s="34">
        <f>ORÇAMENTO!I15</f>
        <v>54242.98</v>
      </c>
      <c r="E13" s="48">
        <v>0.34</v>
      </c>
      <c r="F13" s="282">
        <f>D13*E13</f>
        <v>18442.613200000003</v>
      </c>
      <c r="G13" s="282"/>
      <c r="H13" s="51">
        <v>0.33</v>
      </c>
      <c r="I13" s="282">
        <f t="shared" ref="I13:I18" si="2">D13*H13</f>
        <v>17900.183400000002</v>
      </c>
      <c r="J13" s="282"/>
      <c r="K13" s="48">
        <v>0.33</v>
      </c>
      <c r="L13" s="282">
        <f t="shared" si="1"/>
        <v>17900.183400000002</v>
      </c>
      <c r="M13" s="294"/>
    </row>
    <row r="14" spans="1:13" x14ac:dyDescent="0.3">
      <c r="A14" s="42">
        <v>4</v>
      </c>
      <c r="B14" s="267" t="s">
        <v>99</v>
      </c>
      <c r="C14" s="268"/>
      <c r="D14" s="33">
        <f>ORÇAMENTO!I20</f>
        <v>81940.59</v>
      </c>
      <c r="E14" s="48">
        <v>0.7</v>
      </c>
      <c r="F14" s="282">
        <f>D14*E14</f>
        <v>57358.412999999993</v>
      </c>
      <c r="G14" s="282"/>
      <c r="H14" s="52">
        <v>0.3</v>
      </c>
      <c r="I14" s="282">
        <f t="shared" si="2"/>
        <v>24582.177</v>
      </c>
      <c r="J14" s="282"/>
      <c r="K14" s="49"/>
      <c r="L14" s="282">
        <f t="shared" si="1"/>
        <v>0</v>
      </c>
      <c r="M14" s="294"/>
    </row>
    <row r="15" spans="1:13" x14ac:dyDescent="0.3">
      <c r="A15" s="42">
        <v>5</v>
      </c>
      <c r="B15" s="267" t="s">
        <v>100</v>
      </c>
      <c r="C15" s="268"/>
      <c r="D15" s="33">
        <f>ORÇAMENTO!I30</f>
        <v>75996.079999999987</v>
      </c>
      <c r="E15" s="48">
        <v>0.25</v>
      </c>
      <c r="F15" s="282">
        <f>D15*E15</f>
        <v>18999.019999999997</v>
      </c>
      <c r="G15" s="282"/>
      <c r="H15" s="48">
        <v>0.75</v>
      </c>
      <c r="I15" s="282">
        <f t="shared" si="2"/>
        <v>56997.05999999999</v>
      </c>
      <c r="J15" s="282"/>
      <c r="K15" s="48"/>
      <c r="L15" s="282">
        <f t="shared" si="1"/>
        <v>0</v>
      </c>
      <c r="M15" s="294"/>
    </row>
    <row r="16" spans="1:13" x14ac:dyDescent="0.3">
      <c r="A16" s="42">
        <v>6</v>
      </c>
      <c r="B16" s="267" t="s">
        <v>89</v>
      </c>
      <c r="C16" s="268"/>
      <c r="D16" s="33">
        <f>ORÇAMENTO!I38</f>
        <v>110331.97</v>
      </c>
      <c r="E16" s="49"/>
      <c r="F16" s="282">
        <f t="shared" ref="F16:F17" si="3">D16*E16</f>
        <v>0</v>
      </c>
      <c r="G16" s="282"/>
      <c r="H16" s="48">
        <v>0.4</v>
      </c>
      <c r="I16" s="282">
        <f t="shared" si="2"/>
        <v>44132.788</v>
      </c>
      <c r="J16" s="282"/>
      <c r="K16" s="48">
        <v>0.6</v>
      </c>
      <c r="L16" s="282">
        <f t="shared" si="1"/>
        <v>66199.182000000001</v>
      </c>
      <c r="M16" s="294"/>
    </row>
    <row r="17" spans="1:13" x14ac:dyDescent="0.3">
      <c r="A17" s="42">
        <v>7</v>
      </c>
      <c r="B17" s="267" t="s">
        <v>90</v>
      </c>
      <c r="C17" s="268"/>
      <c r="D17" s="33">
        <f>ORÇAMENTO!I48</f>
        <v>12391.34</v>
      </c>
      <c r="E17" s="49"/>
      <c r="F17" s="282">
        <f t="shared" si="3"/>
        <v>0</v>
      </c>
      <c r="G17" s="282"/>
      <c r="H17" s="49"/>
      <c r="I17" s="282">
        <f t="shared" si="2"/>
        <v>0</v>
      </c>
      <c r="J17" s="282"/>
      <c r="K17" s="48">
        <v>1</v>
      </c>
      <c r="L17" s="282">
        <f t="shared" si="1"/>
        <v>12391.34</v>
      </c>
      <c r="M17" s="294"/>
    </row>
    <row r="18" spans="1:13" x14ac:dyDescent="0.3">
      <c r="A18" s="42">
        <v>8</v>
      </c>
      <c r="B18" s="267" t="s">
        <v>87</v>
      </c>
      <c r="C18" s="268"/>
      <c r="D18" s="33">
        <f>ORÇAMENTO!I55</f>
        <v>26377.41</v>
      </c>
      <c r="E18" s="48">
        <v>0.3</v>
      </c>
      <c r="F18" s="282">
        <f>D18*E18</f>
        <v>7913.223</v>
      </c>
      <c r="G18" s="282"/>
      <c r="H18" s="48">
        <v>0.4</v>
      </c>
      <c r="I18" s="282">
        <f t="shared" si="2"/>
        <v>10550.964</v>
      </c>
      <c r="J18" s="282"/>
      <c r="K18" s="48">
        <v>0.3</v>
      </c>
      <c r="L18" s="282">
        <f t="shared" si="1"/>
        <v>7913.223</v>
      </c>
      <c r="M18" s="294"/>
    </row>
    <row r="19" spans="1:13" ht="15" customHeight="1" x14ac:dyDescent="0.3">
      <c r="A19" s="43"/>
      <c r="B19" s="267" t="s">
        <v>101</v>
      </c>
      <c r="C19" s="268"/>
      <c r="D19" s="33">
        <f>SUM(D11:D18)</f>
        <v>370147.98</v>
      </c>
      <c r="E19" s="49"/>
      <c r="F19" s="33">
        <f>SUM(F11:F18)</f>
        <v>108531.67919999998</v>
      </c>
      <c r="G19" s="35">
        <f>F19/D19</f>
        <v>0.29321159391441226</v>
      </c>
      <c r="H19" s="53"/>
      <c r="I19" s="33">
        <f>SUM(I11:J18)</f>
        <v>154163.17240000001</v>
      </c>
      <c r="J19" s="36">
        <f>I19/D19</f>
        <v>0.41649064895612836</v>
      </c>
      <c r="K19" s="49"/>
      <c r="L19" s="33">
        <f>SUM(L10:M18)</f>
        <v>107453.1284</v>
      </c>
      <c r="M19" s="38">
        <f>L19/D19</f>
        <v>0.29029775712945943</v>
      </c>
    </row>
    <row r="20" spans="1:13" ht="15" thickBot="1" x14ac:dyDescent="0.35">
      <c r="A20" s="44"/>
      <c r="B20" s="269" t="s">
        <v>3</v>
      </c>
      <c r="C20" s="270"/>
      <c r="D20" s="39">
        <f>SUM(D11:D18)</f>
        <v>370147.98</v>
      </c>
      <c r="E20" s="50"/>
      <c r="F20" s="39">
        <f>F19</f>
        <v>108531.67919999998</v>
      </c>
      <c r="G20" s="40">
        <f>G19</f>
        <v>0.29321159391441226</v>
      </c>
      <c r="H20" s="50"/>
      <c r="I20" s="39">
        <f>F20+I19</f>
        <v>262694.85159999999</v>
      </c>
      <c r="J20" s="40">
        <f>G20+J19</f>
        <v>0.70970224287054062</v>
      </c>
      <c r="K20" s="50"/>
      <c r="L20" s="39">
        <f>I20+L19</f>
        <v>370147.98</v>
      </c>
      <c r="M20" s="41">
        <f>J20+M19</f>
        <v>1</v>
      </c>
    </row>
    <row r="21" spans="1:13" x14ac:dyDescent="0.3">
      <c r="A21" s="2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27"/>
    </row>
    <row r="22" spans="1:13" x14ac:dyDescent="0.3">
      <c r="A22" s="289" t="str">
        <f ca="1">"São João do Paraíso - MG, "&amp;TEXT(TODAY(),"DD")&amp;" de "&amp;TEXT(TODAY(),"MMMM")&amp;" de "&amp;TEXT(TODAY(),"AAAA")</f>
        <v>São João do Paraíso - MG, 01 de outubro de 2025</v>
      </c>
      <c r="B22" s="290"/>
      <c r="C22" s="290"/>
      <c r="D22" s="85"/>
      <c r="E22" s="85"/>
      <c r="F22" s="85"/>
      <c r="G22" s="85"/>
      <c r="H22" s="85"/>
      <c r="I22" s="85"/>
      <c r="J22" s="85"/>
      <c r="K22" s="85"/>
      <c r="L22" s="85"/>
      <c r="M22" s="27"/>
    </row>
    <row r="23" spans="1:13" x14ac:dyDescent="0.3">
      <c r="A23" s="26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27"/>
    </row>
    <row r="24" spans="1:13" x14ac:dyDescent="0.3">
      <c r="A24" s="26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27"/>
    </row>
    <row r="25" spans="1:13" ht="17.399999999999999" customHeight="1" x14ac:dyDescent="0.3">
      <c r="A25" s="26"/>
      <c r="B25" s="233" t="s">
        <v>139</v>
      </c>
      <c r="C25" s="233"/>
      <c r="D25" s="233"/>
      <c r="E25" s="233"/>
      <c r="F25" s="233"/>
      <c r="G25" s="250" t="s">
        <v>304</v>
      </c>
      <c r="H25" s="250"/>
      <c r="I25" s="85"/>
      <c r="J25" s="85"/>
      <c r="K25" s="85"/>
      <c r="L25" s="85"/>
      <c r="M25" s="27"/>
    </row>
    <row r="26" spans="1:13" ht="25.2" customHeight="1" x14ac:dyDescent="0.3">
      <c r="A26" s="26"/>
      <c r="B26" s="235" t="s">
        <v>303</v>
      </c>
      <c r="C26" s="235"/>
      <c r="D26" s="235"/>
      <c r="E26" s="235"/>
      <c r="F26" s="235"/>
      <c r="G26" s="237" t="s">
        <v>136</v>
      </c>
      <c r="H26" s="237"/>
      <c r="I26" s="85"/>
      <c r="J26" s="85"/>
      <c r="K26" s="85"/>
      <c r="L26" s="85"/>
      <c r="M26" s="27"/>
    </row>
    <row r="27" spans="1:13" x14ac:dyDescent="0.3">
      <c r="A27" s="26"/>
      <c r="B27" s="91"/>
      <c r="C27" s="92"/>
      <c r="D27" s="92"/>
      <c r="E27" s="89"/>
      <c r="F27" s="89"/>
      <c r="G27" s="85"/>
      <c r="H27" s="85"/>
      <c r="I27" s="85"/>
      <c r="J27" s="85"/>
      <c r="K27" s="85"/>
      <c r="L27" s="85"/>
      <c r="M27" s="27"/>
    </row>
    <row r="28" spans="1:13" x14ac:dyDescent="0.3">
      <c r="A28" s="26"/>
      <c r="B28" s="91"/>
      <c r="C28" s="92"/>
      <c r="D28" s="92"/>
      <c r="E28" s="89"/>
      <c r="F28" s="89"/>
      <c r="G28" s="85"/>
      <c r="H28" s="85"/>
      <c r="I28" s="85"/>
      <c r="J28" s="85"/>
      <c r="K28" s="85"/>
      <c r="L28" s="85"/>
      <c r="M28" s="27"/>
    </row>
    <row r="29" spans="1:13" x14ac:dyDescent="0.3">
      <c r="A29" s="26"/>
      <c r="B29" s="88"/>
      <c r="C29" s="88"/>
      <c r="D29" s="88"/>
      <c r="E29" s="88"/>
      <c r="F29" s="88"/>
      <c r="G29" s="85"/>
      <c r="H29" s="85"/>
      <c r="I29" s="85"/>
      <c r="J29" s="85"/>
      <c r="K29" s="85"/>
      <c r="L29" s="85"/>
      <c r="M29" s="27"/>
    </row>
    <row r="30" spans="1:13" x14ac:dyDescent="0.3">
      <c r="A30" s="26"/>
      <c r="B30" s="233" t="s">
        <v>138</v>
      </c>
      <c r="C30" s="233"/>
      <c r="D30" s="233"/>
      <c r="E30" s="233"/>
      <c r="F30" s="233"/>
      <c r="G30" s="85"/>
      <c r="H30" s="85"/>
      <c r="I30" s="85"/>
      <c r="J30" s="85"/>
      <c r="K30" s="85"/>
      <c r="L30" s="85"/>
      <c r="M30" s="27"/>
    </row>
    <row r="31" spans="1:13" ht="14.4" customHeight="1" x14ac:dyDescent="0.3">
      <c r="A31" s="26"/>
      <c r="B31" s="235" t="s">
        <v>137</v>
      </c>
      <c r="C31" s="235"/>
      <c r="D31" s="235"/>
      <c r="E31" s="235"/>
      <c r="F31" s="235"/>
      <c r="G31" s="85"/>
      <c r="H31" s="85"/>
      <c r="I31" s="85"/>
      <c r="J31" s="85"/>
      <c r="K31" s="85"/>
      <c r="L31" s="85"/>
      <c r="M31" s="27"/>
    </row>
    <row r="32" spans="1:13" ht="15" thickBot="1" x14ac:dyDescent="0.3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0"/>
    </row>
  </sheetData>
  <mergeCells count="58">
    <mergeCell ref="L16:M16"/>
    <mergeCell ref="L17:M17"/>
    <mergeCell ref="L18:M18"/>
    <mergeCell ref="A22:C22"/>
    <mergeCell ref="L10:M10"/>
    <mergeCell ref="L11:M11"/>
    <mergeCell ref="L12:M12"/>
    <mergeCell ref="L13:M13"/>
    <mergeCell ref="L14:M14"/>
    <mergeCell ref="L15:M15"/>
    <mergeCell ref="I13:J13"/>
    <mergeCell ref="I14:J14"/>
    <mergeCell ref="I15:J15"/>
    <mergeCell ref="I16:J16"/>
    <mergeCell ref="I17:J17"/>
    <mergeCell ref="I18:J18"/>
    <mergeCell ref="F15:G15"/>
    <mergeCell ref="F14:G14"/>
    <mergeCell ref="F13:G13"/>
    <mergeCell ref="F12:G12"/>
    <mergeCell ref="F11:G11"/>
    <mergeCell ref="G26:H26"/>
    <mergeCell ref="B26:F26"/>
    <mergeCell ref="B25:F25"/>
    <mergeCell ref="B30:F30"/>
    <mergeCell ref="B31:F31"/>
    <mergeCell ref="D1:M1"/>
    <mergeCell ref="D2:M2"/>
    <mergeCell ref="D3:M3"/>
    <mergeCell ref="D4:M4"/>
    <mergeCell ref="G25:H25"/>
    <mergeCell ref="E5:G5"/>
    <mergeCell ref="E6:G6"/>
    <mergeCell ref="A8:M8"/>
    <mergeCell ref="E9:G9"/>
    <mergeCell ref="H9:J9"/>
    <mergeCell ref="K9:M9"/>
    <mergeCell ref="E7:G7"/>
    <mergeCell ref="F18:G18"/>
    <mergeCell ref="F17:G17"/>
    <mergeCell ref="F10:G10"/>
    <mergeCell ref="I10:J10"/>
    <mergeCell ref="B18:C18"/>
    <mergeCell ref="B19:C19"/>
    <mergeCell ref="B20:C20"/>
    <mergeCell ref="B10:C10"/>
    <mergeCell ref="H5:M7"/>
    <mergeCell ref="B11:C11"/>
    <mergeCell ref="B12:C12"/>
    <mergeCell ref="B13:C13"/>
    <mergeCell ref="B14:C14"/>
    <mergeCell ref="B15:C15"/>
    <mergeCell ref="B16:C16"/>
    <mergeCell ref="B17:C17"/>
    <mergeCell ref="A1:C7"/>
    <mergeCell ref="I11:J11"/>
    <mergeCell ref="I12:J12"/>
    <mergeCell ref="F16:G16"/>
  </mergeCells>
  <phoneticPr fontId="2" type="noConversion"/>
  <pageMargins left="0.511811024" right="0.511811024" top="0.78740157499999996" bottom="0.78740157499999996" header="0.31496062000000002" footer="0.31496062000000002"/>
  <pageSetup paperSize="9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="86" zoomScaleNormal="96" zoomScaleSheetLayoutView="86" workbookViewId="0">
      <selection activeCell="G11" sqref="G11"/>
    </sheetView>
  </sheetViews>
  <sheetFormatPr defaultRowHeight="14.4" x14ac:dyDescent="0.3"/>
  <cols>
    <col min="2" max="3" width="13.6640625" customWidth="1"/>
    <col min="4" max="4" width="68.5546875" customWidth="1"/>
    <col min="6" max="8" width="15.44140625" customWidth="1"/>
  </cols>
  <sheetData>
    <row r="1" spans="1:10" ht="15.75" customHeight="1" thickBot="1" x14ac:dyDescent="0.35">
      <c r="A1" s="241"/>
      <c r="B1" s="242"/>
      <c r="C1" s="243"/>
      <c r="D1" s="238" t="s">
        <v>142</v>
      </c>
      <c r="E1" s="239"/>
      <c r="F1" s="239"/>
      <c r="G1" s="239"/>
      <c r="H1" s="240"/>
    </row>
    <row r="2" spans="1:10" ht="15.75" customHeight="1" x14ac:dyDescent="0.3">
      <c r="A2" s="244"/>
      <c r="B2" s="245"/>
      <c r="C2" s="246"/>
      <c r="D2" s="253" t="s">
        <v>17</v>
      </c>
      <c r="E2" s="254"/>
      <c r="F2" s="254"/>
      <c r="G2" s="254"/>
      <c r="H2" s="255"/>
    </row>
    <row r="3" spans="1:10" ht="15.75" customHeight="1" x14ac:dyDescent="0.3">
      <c r="A3" s="244"/>
      <c r="B3" s="245"/>
      <c r="C3" s="246"/>
      <c r="D3" s="228" t="s">
        <v>18</v>
      </c>
      <c r="E3" s="228"/>
      <c r="F3" s="228"/>
      <c r="G3" s="228"/>
      <c r="H3" s="230"/>
    </row>
    <row r="4" spans="1:10" ht="15.6" x14ac:dyDescent="0.3">
      <c r="A4" s="244"/>
      <c r="B4" s="245"/>
      <c r="C4" s="246"/>
      <c r="D4" s="231" t="s">
        <v>19</v>
      </c>
      <c r="E4" s="231"/>
      <c r="F4" s="231"/>
      <c r="G4" s="231"/>
      <c r="H4" s="232"/>
      <c r="I4" s="85"/>
      <c r="J4" s="85"/>
    </row>
    <row r="5" spans="1:10" ht="15" customHeight="1" x14ac:dyDescent="0.3">
      <c r="A5" s="244"/>
      <c r="B5" s="245"/>
      <c r="C5" s="246"/>
      <c r="D5" s="84" t="s">
        <v>333</v>
      </c>
      <c r="E5" s="259" t="s">
        <v>1</v>
      </c>
      <c r="F5" s="259"/>
      <c r="G5" s="259"/>
      <c r="H5" s="101" t="s">
        <v>2</v>
      </c>
      <c r="I5" s="127"/>
      <c r="J5" s="85"/>
    </row>
    <row r="6" spans="1:10" ht="33" customHeight="1" x14ac:dyDescent="0.3">
      <c r="A6" s="244"/>
      <c r="B6" s="245"/>
      <c r="C6" s="246"/>
      <c r="D6" s="82" t="s">
        <v>141</v>
      </c>
      <c r="E6" s="260" t="s">
        <v>313</v>
      </c>
      <c r="F6" s="260"/>
      <c r="G6" s="260"/>
      <c r="H6" s="296">
        <v>0.2258</v>
      </c>
      <c r="I6" s="128"/>
      <c r="J6" s="85"/>
    </row>
    <row r="7" spans="1:10" ht="15" customHeight="1" thickBot="1" x14ac:dyDescent="0.35">
      <c r="A7" s="247"/>
      <c r="B7" s="248"/>
      <c r="C7" s="249"/>
      <c r="D7" s="83" t="s">
        <v>140</v>
      </c>
      <c r="E7" s="261" t="s">
        <v>298</v>
      </c>
      <c r="F7" s="261"/>
      <c r="G7" s="261"/>
      <c r="H7" s="297"/>
      <c r="I7" s="128"/>
      <c r="J7" s="85"/>
    </row>
    <row r="8" spans="1:10" x14ac:dyDescent="0.3">
      <c r="A8" s="1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4" t="s">
        <v>12</v>
      </c>
    </row>
    <row r="9" spans="1:10" ht="15" thickBot="1" x14ac:dyDescent="0.35">
      <c r="A9" s="56" t="s">
        <v>13</v>
      </c>
      <c r="B9" s="59" t="s">
        <v>183</v>
      </c>
      <c r="C9" s="60" t="s">
        <v>130</v>
      </c>
      <c r="D9" s="57" t="s">
        <v>133</v>
      </c>
      <c r="E9" s="57"/>
      <c r="F9" s="57"/>
      <c r="G9" s="57"/>
      <c r="H9" s="78">
        <f>SUM(H10:H15)</f>
        <v>553.05000000000007</v>
      </c>
    </row>
    <row r="10" spans="1:10" x14ac:dyDescent="0.3">
      <c r="A10" s="61" t="s">
        <v>117</v>
      </c>
      <c r="B10" s="211">
        <v>3106427</v>
      </c>
      <c r="C10" s="10" t="s">
        <v>29</v>
      </c>
      <c r="D10" s="31" t="s">
        <v>126</v>
      </c>
      <c r="E10" s="10" t="s">
        <v>131</v>
      </c>
      <c r="F10" s="11">
        <v>1.5</v>
      </c>
      <c r="G10" s="66">
        <v>41.33</v>
      </c>
      <c r="H10" s="67">
        <f t="shared" ref="H10:H15" si="0">ROUND(F10*G10,2)</f>
        <v>62</v>
      </c>
    </row>
    <row r="11" spans="1:10" x14ac:dyDescent="0.3">
      <c r="A11" s="9" t="s">
        <v>14</v>
      </c>
      <c r="B11" s="211" t="s">
        <v>184</v>
      </c>
      <c r="C11" s="10" t="s">
        <v>29</v>
      </c>
      <c r="D11" s="31" t="s">
        <v>127</v>
      </c>
      <c r="E11" s="10" t="s">
        <v>46</v>
      </c>
      <c r="F11" s="58">
        <v>3.5000000000000003E-2</v>
      </c>
      <c r="G11" s="68">
        <v>355</v>
      </c>
      <c r="H11" s="69">
        <f t="shared" si="0"/>
        <v>12.43</v>
      </c>
    </row>
    <row r="12" spans="1:10" x14ac:dyDescent="0.3">
      <c r="A12" s="9" t="s">
        <v>118</v>
      </c>
      <c r="B12" s="211">
        <v>1107896</v>
      </c>
      <c r="C12" s="10" t="s">
        <v>29</v>
      </c>
      <c r="D12" s="55" t="s">
        <v>128</v>
      </c>
      <c r="E12" s="10" t="s">
        <v>46</v>
      </c>
      <c r="F12" s="11">
        <v>0.18</v>
      </c>
      <c r="G12" s="68">
        <v>491.3</v>
      </c>
      <c r="H12" s="69">
        <f t="shared" si="0"/>
        <v>88.43</v>
      </c>
    </row>
    <row r="13" spans="1:10" ht="28.8" x14ac:dyDescent="0.3">
      <c r="A13" s="9" t="s">
        <v>20</v>
      </c>
      <c r="B13" s="211">
        <v>103670</v>
      </c>
      <c r="C13" s="10" t="s">
        <v>21</v>
      </c>
      <c r="D13" s="55" t="s">
        <v>293</v>
      </c>
      <c r="E13" s="10" t="s">
        <v>46</v>
      </c>
      <c r="F13" s="58">
        <v>0.18</v>
      </c>
      <c r="G13" s="68">
        <v>321.64</v>
      </c>
      <c r="H13" s="69">
        <f t="shared" si="0"/>
        <v>57.9</v>
      </c>
    </row>
    <row r="14" spans="1:10" x14ac:dyDescent="0.3">
      <c r="A14" s="9" t="s">
        <v>119</v>
      </c>
      <c r="B14" s="211">
        <v>407819</v>
      </c>
      <c r="C14" s="10" t="s">
        <v>29</v>
      </c>
      <c r="D14" s="31" t="s">
        <v>129</v>
      </c>
      <c r="E14" s="10" t="s">
        <v>132</v>
      </c>
      <c r="F14" s="11">
        <v>17.98</v>
      </c>
      <c r="G14" s="68">
        <v>12.47</v>
      </c>
      <c r="H14" s="69">
        <f t="shared" si="0"/>
        <v>224.21</v>
      </c>
    </row>
    <row r="15" spans="1:10" ht="15" thickBot="1" x14ac:dyDescent="0.35">
      <c r="A15" s="65" t="s">
        <v>120</v>
      </c>
      <c r="B15" s="213" t="s">
        <v>185</v>
      </c>
      <c r="C15" s="80" t="s">
        <v>29</v>
      </c>
      <c r="D15" s="93" t="s">
        <v>112</v>
      </c>
      <c r="E15" s="80" t="s">
        <v>30</v>
      </c>
      <c r="F15" s="70">
        <f>6/1.19</f>
        <v>5.0420168067226889</v>
      </c>
      <c r="G15" s="71">
        <v>21.435400000000001</v>
      </c>
      <c r="H15" s="72">
        <f t="shared" si="0"/>
        <v>108.08</v>
      </c>
    </row>
    <row r="16" spans="1:10" x14ac:dyDescent="0.3">
      <c r="A16" s="26"/>
      <c r="B16" s="85"/>
      <c r="C16" s="85"/>
      <c r="D16" s="85"/>
      <c r="E16" s="85"/>
      <c r="F16" s="85"/>
      <c r="G16" s="85"/>
      <c r="H16" s="27"/>
    </row>
    <row r="17" spans="1:8" x14ac:dyDescent="0.3">
      <c r="A17" s="26"/>
      <c r="B17" s="290" t="str">
        <f ca="1">"São João do Paraíso - MG, "&amp;TEXT(TODAY(),"DD")&amp;" de "&amp;TEXT(TODAY(),"MMMM")&amp;" de "&amp;TEXT(TODAY(),"AAAA")</f>
        <v>São João do Paraíso - MG, 01 de outubro de 2025</v>
      </c>
      <c r="C17" s="290"/>
      <c r="D17" s="290"/>
      <c r="E17" s="85"/>
      <c r="F17" s="85"/>
      <c r="G17" s="85"/>
      <c r="H17" s="27"/>
    </row>
    <row r="18" spans="1:8" x14ac:dyDescent="0.3">
      <c r="A18" s="26"/>
      <c r="B18" s="85"/>
      <c r="C18" s="85"/>
      <c r="D18" s="85"/>
      <c r="E18" s="85"/>
      <c r="F18" s="85"/>
      <c r="G18" s="85"/>
      <c r="H18" s="27"/>
    </row>
    <row r="19" spans="1:8" x14ac:dyDescent="0.3">
      <c r="A19" s="26"/>
      <c r="B19" s="85"/>
      <c r="C19" s="85"/>
      <c r="D19" s="85"/>
      <c r="E19" s="85"/>
      <c r="F19" s="85"/>
      <c r="G19" s="85"/>
      <c r="H19" s="27"/>
    </row>
    <row r="20" spans="1:8" x14ac:dyDescent="0.3">
      <c r="A20" s="26"/>
      <c r="B20" s="85"/>
      <c r="C20" s="85"/>
      <c r="D20" s="85"/>
      <c r="E20" s="85"/>
      <c r="F20" s="85"/>
      <c r="G20" s="85"/>
      <c r="H20" s="27"/>
    </row>
    <row r="21" spans="1:8" x14ac:dyDescent="0.3">
      <c r="A21" s="26"/>
      <c r="B21" s="85"/>
      <c r="C21" s="85"/>
      <c r="D21" s="85"/>
      <c r="E21" s="85"/>
      <c r="F21" s="85"/>
      <c r="G21" s="85"/>
      <c r="H21" s="27"/>
    </row>
    <row r="22" spans="1:8" x14ac:dyDescent="0.3">
      <c r="A22" s="26"/>
      <c r="B22" s="85"/>
      <c r="C22" s="85"/>
      <c r="D22" s="23" t="s">
        <v>305</v>
      </c>
      <c r="E22" s="85"/>
      <c r="F22" s="85"/>
      <c r="G22" s="85"/>
      <c r="H22" s="27"/>
    </row>
    <row r="23" spans="1:8" x14ac:dyDescent="0.3">
      <c r="A23" s="26"/>
      <c r="B23" s="85"/>
      <c r="C23" s="85"/>
      <c r="D23" s="94" t="s">
        <v>306</v>
      </c>
      <c r="E23" s="85"/>
      <c r="F23" s="85"/>
      <c r="G23" s="85"/>
      <c r="H23" s="27"/>
    </row>
    <row r="24" spans="1:8" x14ac:dyDescent="0.3">
      <c r="A24" s="26"/>
      <c r="B24" s="85"/>
      <c r="C24" s="85"/>
      <c r="D24" s="85"/>
      <c r="E24" s="85"/>
      <c r="F24" s="85"/>
      <c r="G24" s="85"/>
      <c r="H24" s="27"/>
    </row>
    <row r="25" spans="1:8" ht="15" thickBot="1" x14ac:dyDescent="0.35">
      <c r="A25" s="28"/>
      <c r="B25" s="29"/>
      <c r="C25" s="29"/>
      <c r="D25" s="29"/>
      <c r="E25" s="29"/>
      <c r="F25" s="29"/>
      <c r="G25" s="29"/>
      <c r="H25" s="30"/>
    </row>
    <row r="32" spans="1:8" ht="15" thickBot="1" x14ac:dyDescent="0.35"/>
    <row r="33" spans="1:8" x14ac:dyDescent="0.3">
      <c r="A33" s="1" t="s">
        <v>4</v>
      </c>
      <c r="B33" s="2" t="s">
        <v>5</v>
      </c>
      <c r="C33" s="2" t="s">
        <v>6</v>
      </c>
      <c r="D33" s="2" t="s">
        <v>7</v>
      </c>
      <c r="E33" s="2" t="s">
        <v>8</v>
      </c>
      <c r="F33" s="2" t="s">
        <v>9</v>
      </c>
      <c r="G33" s="2" t="s">
        <v>10</v>
      </c>
      <c r="H33" s="4" t="s">
        <v>12</v>
      </c>
    </row>
    <row r="34" spans="1:8" ht="15" thickBot="1" x14ac:dyDescent="0.35">
      <c r="A34" s="56" t="s">
        <v>13</v>
      </c>
      <c r="B34" s="59" t="s">
        <v>116</v>
      </c>
      <c r="C34" s="60" t="s">
        <v>21</v>
      </c>
      <c r="D34" s="57" t="s">
        <v>103</v>
      </c>
      <c r="E34" s="57"/>
      <c r="F34" s="57"/>
      <c r="G34" s="57"/>
      <c r="H34" s="78">
        <f>SUM(H35:H40)</f>
        <v>2164.36</v>
      </c>
    </row>
    <row r="35" spans="1:8" ht="43.2" x14ac:dyDescent="0.3">
      <c r="A35" s="61" t="s">
        <v>117</v>
      </c>
      <c r="B35" s="75">
        <v>94962</v>
      </c>
      <c r="C35" s="62" t="s">
        <v>21</v>
      </c>
      <c r="D35" s="63" t="s">
        <v>111</v>
      </c>
      <c r="E35" s="62" t="s">
        <v>121</v>
      </c>
      <c r="F35" s="64">
        <v>0.08</v>
      </c>
      <c r="G35" s="66">
        <v>410.74</v>
      </c>
      <c r="H35" s="67">
        <f t="shared" ref="H35:H40" si="1">ROUND(F35*G35,2)</f>
        <v>32.86</v>
      </c>
    </row>
    <row r="36" spans="1:8" x14ac:dyDescent="0.3">
      <c r="A36" s="9" t="s">
        <v>14</v>
      </c>
      <c r="B36" s="76">
        <v>88316</v>
      </c>
      <c r="C36" s="223" t="s">
        <v>21</v>
      </c>
      <c r="D36" s="14" t="s">
        <v>112</v>
      </c>
      <c r="E36" s="223" t="s">
        <v>30</v>
      </c>
      <c r="F36" s="11">
        <v>12</v>
      </c>
      <c r="G36" s="68">
        <v>19.940000000000001</v>
      </c>
      <c r="H36" s="69">
        <f t="shared" si="1"/>
        <v>239.28</v>
      </c>
    </row>
    <row r="37" spans="1:8" x14ac:dyDescent="0.3">
      <c r="A37" s="9" t="s">
        <v>118</v>
      </c>
      <c r="B37" s="76">
        <v>88262</v>
      </c>
      <c r="C37" s="223" t="s">
        <v>21</v>
      </c>
      <c r="D37" s="73" t="s">
        <v>113</v>
      </c>
      <c r="E37" s="223" t="s">
        <v>30</v>
      </c>
      <c r="F37" s="11">
        <v>6</v>
      </c>
      <c r="G37" s="68">
        <v>26.73</v>
      </c>
      <c r="H37" s="69">
        <f t="shared" si="1"/>
        <v>160.38</v>
      </c>
    </row>
    <row r="38" spans="1:8" ht="28.8" x14ac:dyDescent="0.3">
      <c r="A38" s="9" t="s">
        <v>20</v>
      </c>
      <c r="B38" s="76">
        <v>4813</v>
      </c>
      <c r="C38" s="223" t="s">
        <v>125</v>
      </c>
      <c r="D38" s="14" t="s">
        <v>134</v>
      </c>
      <c r="E38" s="223" t="s">
        <v>122</v>
      </c>
      <c r="F38" s="11">
        <v>6</v>
      </c>
      <c r="G38" s="68">
        <v>250</v>
      </c>
      <c r="H38" s="69">
        <f t="shared" si="1"/>
        <v>1500</v>
      </c>
    </row>
    <row r="39" spans="1:8" ht="28.8" x14ac:dyDescent="0.3">
      <c r="A39" s="9" t="s">
        <v>119</v>
      </c>
      <c r="B39" s="76">
        <v>4346</v>
      </c>
      <c r="C39" s="223" t="s">
        <v>125</v>
      </c>
      <c r="D39" s="14" t="s">
        <v>114</v>
      </c>
      <c r="E39" s="223" t="s">
        <v>123</v>
      </c>
      <c r="F39" s="11">
        <v>4</v>
      </c>
      <c r="G39" s="68">
        <v>13.82</v>
      </c>
      <c r="H39" s="69">
        <f t="shared" si="1"/>
        <v>55.28</v>
      </c>
    </row>
    <row r="40" spans="1:8" ht="29.4" thickBot="1" x14ac:dyDescent="0.35">
      <c r="A40" s="65" t="s">
        <v>120</v>
      </c>
      <c r="B40" s="77">
        <v>4115</v>
      </c>
      <c r="C40" s="224" t="s">
        <v>125</v>
      </c>
      <c r="D40" s="74" t="s">
        <v>115</v>
      </c>
      <c r="E40" s="224" t="s">
        <v>124</v>
      </c>
      <c r="F40" s="70">
        <v>8</v>
      </c>
      <c r="G40" s="71">
        <v>22.07</v>
      </c>
      <c r="H40" s="72">
        <f t="shared" si="1"/>
        <v>176.56</v>
      </c>
    </row>
  </sheetData>
  <mergeCells count="10">
    <mergeCell ref="B17:D17"/>
    <mergeCell ref="A1:C7"/>
    <mergeCell ref="D1:H1"/>
    <mergeCell ref="D2:H2"/>
    <mergeCell ref="D3:H3"/>
    <mergeCell ref="D4:H4"/>
    <mergeCell ref="E5:G5"/>
    <mergeCell ref="E6:G6"/>
    <mergeCell ref="E7:G7"/>
    <mergeCell ref="H6:H7"/>
  </mergeCells>
  <phoneticPr fontId="2" type="noConversion"/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31" zoomScale="94" zoomScaleNormal="100" zoomScaleSheetLayoutView="94" workbookViewId="0">
      <selection activeCell="G61" sqref="G61"/>
    </sheetView>
  </sheetViews>
  <sheetFormatPr defaultRowHeight="14.4" x14ac:dyDescent="0.3"/>
  <sheetData>
    <row r="1" spans="1:12" x14ac:dyDescent="0.3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86"/>
    </row>
    <row r="2" spans="1:12" x14ac:dyDescent="0.3">
      <c r="A2" s="26"/>
      <c r="B2" s="85"/>
      <c r="C2" s="85"/>
      <c r="D2" s="85"/>
      <c r="E2" s="85"/>
      <c r="F2" s="85"/>
      <c r="G2" s="85"/>
      <c r="H2" s="85"/>
      <c r="I2" s="85"/>
      <c r="J2" s="85"/>
      <c r="K2" s="85"/>
      <c r="L2" s="27"/>
    </row>
    <row r="3" spans="1:12" x14ac:dyDescent="0.3">
      <c r="A3" s="26"/>
      <c r="B3" s="85"/>
      <c r="C3" s="85"/>
      <c r="D3" s="85"/>
      <c r="E3" s="85"/>
      <c r="F3" s="85"/>
      <c r="G3" s="85"/>
      <c r="H3" s="85"/>
      <c r="I3" s="85"/>
      <c r="J3" s="85"/>
      <c r="K3" s="85"/>
      <c r="L3" s="27"/>
    </row>
    <row r="4" spans="1:12" x14ac:dyDescent="0.3">
      <c r="A4" s="26"/>
      <c r="B4" s="85"/>
      <c r="C4" s="85"/>
      <c r="D4" s="85"/>
      <c r="E4" s="85"/>
      <c r="F4" s="85"/>
      <c r="G4" s="85"/>
      <c r="H4" s="85"/>
      <c r="I4" s="85"/>
      <c r="J4" s="85"/>
      <c r="K4" s="85"/>
      <c r="L4" s="27"/>
    </row>
    <row r="5" spans="1:12" x14ac:dyDescent="0.3">
      <c r="A5" s="26"/>
      <c r="B5" s="85"/>
      <c r="C5" s="85"/>
      <c r="D5" s="85"/>
      <c r="E5" s="85"/>
      <c r="F5" s="85"/>
      <c r="G5" s="85"/>
      <c r="H5" s="85"/>
      <c r="I5" s="85"/>
      <c r="J5" s="85"/>
      <c r="K5" s="85"/>
      <c r="L5" s="27"/>
    </row>
    <row r="6" spans="1:12" x14ac:dyDescent="0.3">
      <c r="A6" s="26"/>
      <c r="B6" s="85"/>
      <c r="C6" s="85"/>
      <c r="D6" s="85"/>
      <c r="E6" s="85"/>
      <c r="F6" s="85"/>
      <c r="G6" s="85"/>
      <c r="H6" s="85"/>
      <c r="I6" s="85"/>
      <c r="J6" s="85"/>
      <c r="K6" s="85"/>
      <c r="L6" s="27"/>
    </row>
    <row r="7" spans="1:12" x14ac:dyDescent="0.3">
      <c r="A7" s="26"/>
      <c r="B7" s="85"/>
      <c r="C7" s="85"/>
      <c r="D7" s="85"/>
      <c r="E7" s="85"/>
      <c r="F7" s="85"/>
      <c r="G7" s="85"/>
      <c r="H7" s="85"/>
      <c r="I7" s="85"/>
      <c r="J7" s="85"/>
      <c r="K7" s="85"/>
      <c r="L7" s="27"/>
    </row>
    <row r="8" spans="1:12" x14ac:dyDescent="0.3">
      <c r="A8" s="26"/>
      <c r="B8" s="85"/>
      <c r="C8" s="85"/>
      <c r="D8" s="85"/>
      <c r="E8" s="85"/>
      <c r="F8" s="85"/>
      <c r="G8" s="85"/>
      <c r="H8" s="85"/>
      <c r="I8" s="85"/>
      <c r="J8" s="85"/>
      <c r="K8" s="85"/>
      <c r="L8" s="27"/>
    </row>
    <row r="9" spans="1:12" x14ac:dyDescent="0.3">
      <c r="A9" s="26"/>
      <c r="B9" s="85"/>
      <c r="C9" s="85"/>
      <c r="D9" s="85"/>
      <c r="E9" s="85"/>
      <c r="F9" s="85"/>
      <c r="G9" s="85"/>
      <c r="H9" s="85"/>
      <c r="I9" s="85"/>
      <c r="J9" s="85"/>
      <c r="K9" s="85"/>
      <c r="L9" s="27"/>
    </row>
    <row r="10" spans="1:12" x14ac:dyDescent="0.3">
      <c r="A10" s="26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27"/>
    </row>
    <row r="11" spans="1:12" x14ac:dyDescent="0.3">
      <c r="A11" s="26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27"/>
    </row>
    <row r="12" spans="1:12" x14ac:dyDescent="0.3">
      <c r="A12" s="26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27"/>
    </row>
    <row r="13" spans="1:12" x14ac:dyDescent="0.3">
      <c r="A13" s="26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27"/>
    </row>
    <row r="14" spans="1:12" x14ac:dyDescent="0.3">
      <c r="A14" s="26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27"/>
    </row>
    <row r="15" spans="1:12" x14ac:dyDescent="0.3">
      <c r="A15" s="26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27"/>
    </row>
    <row r="16" spans="1:12" x14ac:dyDescent="0.3">
      <c r="A16" s="26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27"/>
    </row>
    <row r="17" spans="1:12" x14ac:dyDescent="0.3">
      <c r="A17" s="26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27"/>
    </row>
    <row r="18" spans="1:12" x14ac:dyDescent="0.3">
      <c r="A18" s="26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27"/>
    </row>
    <row r="19" spans="1:12" x14ac:dyDescent="0.3">
      <c r="A19" s="26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27"/>
    </row>
    <row r="20" spans="1:12" x14ac:dyDescent="0.3">
      <c r="A20" s="26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27"/>
    </row>
    <row r="21" spans="1:12" x14ac:dyDescent="0.3">
      <c r="A21" s="2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27"/>
    </row>
    <row r="22" spans="1:12" x14ac:dyDescent="0.3">
      <c r="A22" s="26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27"/>
    </row>
    <row r="23" spans="1:12" x14ac:dyDescent="0.3">
      <c r="A23" s="26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27"/>
    </row>
    <row r="24" spans="1:12" x14ac:dyDescent="0.3">
      <c r="A24" s="26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27"/>
    </row>
    <row r="25" spans="1:12" x14ac:dyDescent="0.3">
      <c r="A25" s="26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27"/>
    </row>
    <row r="26" spans="1:12" x14ac:dyDescent="0.3">
      <c r="A26" s="26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27"/>
    </row>
    <row r="27" spans="1:12" x14ac:dyDescent="0.3">
      <c r="A27" s="26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27"/>
    </row>
    <row r="28" spans="1:12" x14ac:dyDescent="0.3">
      <c r="A28" s="26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27"/>
    </row>
    <row r="29" spans="1:12" x14ac:dyDescent="0.3">
      <c r="A29" s="26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27"/>
    </row>
    <row r="30" spans="1:12" x14ac:dyDescent="0.3">
      <c r="A30" s="26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27"/>
    </row>
    <row r="31" spans="1:12" x14ac:dyDescent="0.3">
      <c r="A31" s="26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27"/>
    </row>
    <row r="32" spans="1:12" x14ac:dyDescent="0.3">
      <c r="A32" s="26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27"/>
    </row>
    <row r="33" spans="1:12" x14ac:dyDescent="0.3">
      <c r="A33" s="26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27"/>
    </row>
    <row r="34" spans="1:12" x14ac:dyDescent="0.3">
      <c r="A34" s="26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27"/>
    </row>
    <row r="35" spans="1:12" x14ac:dyDescent="0.3">
      <c r="A35" s="26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27"/>
    </row>
    <row r="36" spans="1:12" x14ac:dyDescent="0.3">
      <c r="A36" s="26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27"/>
    </row>
    <row r="37" spans="1:12" x14ac:dyDescent="0.3">
      <c r="A37" s="26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27"/>
    </row>
    <row r="38" spans="1:12" x14ac:dyDescent="0.3">
      <c r="A38" s="26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27"/>
    </row>
    <row r="39" spans="1:12" x14ac:dyDescent="0.3">
      <c r="A39" s="26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27"/>
    </row>
    <row r="40" spans="1:12" x14ac:dyDescent="0.3">
      <c r="A40" s="26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27"/>
    </row>
    <row r="41" spans="1:12" x14ac:dyDescent="0.3">
      <c r="A41" s="26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27"/>
    </row>
    <row r="42" spans="1:12" x14ac:dyDescent="0.3">
      <c r="A42" s="26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27"/>
    </row>
    <row r="43" spans="1:12" x14ac:dyDescent="0.3">
      <c r="A43" s="26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27"/>
    </row>
    <row r="44" spans="1:12" x14ac:dyDescent="0.3">
      <c r="A44" s="26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27"/>
    </row>
    <row r="45" spans="1:12" x14ac:dyDescent="0.3">
      <c r="A45" s="26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27"/>
    </row>
    <row r="46" spans="1:12" x14ac:dyDescent="0.3">
      <c r="A46" s="95"/>
      <c r="B46" s="87"/>
      <c r="C46" s="87"/>
      <c r="D46" s="87"/>
      <c r="E46" s="87"/>
      <c r="F46" s="87"/>
      <c r="G46" s="87"/>
      <c r="H46" s="87"/>
      <c r="I46" s="87"/>
      <c r="J46" s="85"/>
      <c r="K46" s="85"/>
      <c r="L46" s="27"/>
    </row>
    <row r="47" spans="1:12" x14ac:dyDescent="0.3">
      <c r="A47" s="95"/>
      <c r="B47" s="87"/>
      <c r="C47" s="87"/>
      <c r="D47" s="87"/>
      <c r="E47" s="87"/>
      <c r="F47" s="87"/>
      <c r="G47" s="87"/>
      <c r="H47" s="87"/>
      <c r="I47" s="87"/>
      <c r="J47" s="85"/>
      <c r="K47" s="85"/>
      <c r="L47" s="27"/>
    </row>
    <row r="48" spans="1:12" x14ac:dyDescent="0.3">
      <c r="A48" s="95"/>
      <c r="B48" s="87"/>
      <c r="C48" s="87"/>
      <c r="D48" s="87"/>
      <c r="E48" s="87"/>
      <c r="F48" s="87"/>
      <c r="G48" s="87"/>
      <c r="H48" s="87"/>
      <c r="I48" s="87"/>
      <c r="J48" s="85"/>
      <c r="K48" s="85"/>
      <c r="L48" s="27"/>
    </row>
    <row r="49" spans="1:12" x14ac:dyDescent="0.3">
      <c r="A49" s="95"/>
      <c r="B49" s="87"/>
      <c r="C49" s="87"/>
      <c r="D49" s="87"/>
      <c r="E49" s="87"/>
      <c r="F49" s="87"/>
      <c r="G49" s="87"/>
      <c r="H49" s="87"/>
      <c r="I49" s="87"/>
      <c r="J49" s="85"/>
      <c r="K49" s="85"/>
      <c r="L49" s="27"/>
    </row>
    <row r="50" spans="1:12" x14ac:dyDescent="0.3">
      <c r="A50" s="95"/>
      <c r="B50" s="87"/>
      <c r="C50" s="87"/>
      <c r="D50" s="87"/>
      <c r="E50" s="87"/>
      <c r="F50" s="87"/>
      <c r="G50" s="87"/>
      <c r="H50" s="87"/>
      <c r="I50" s="87"/>
      <c r="J50" s="85"/>
      <c r="K50" s="85"/>
      <c r="L50" s="27"/>
    </row>
    <row r="51" spans="1:12" x14ac:dyDescent="0.3">
      <c r="A51" s="95"/>
      <c r="B51" s="87"/>
      <c r="C51" s="87"/>
      <c r="D51" s="87"/>
      <c r="E51" s="87"/>
      <c r="F51" s="87"/>
      <c r="G51" s="87"/>
      <c r="H51" s="87"/>
      <c r="I51" s="87"/>
      <c r="J51" s="85"/>
      <c r="K51" s="85"/>
      <c r="L51" s="27"/>
    </row>
    <row r="52" spans="1:12" ht="15" thickBot="1" x14ac:dyDescent="0.3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30"/>
    </row>
  </sheetData>
  <pageMargins left="0.511811024" right="0.511811024" top="0.78740157499999996" bottom="0.78740157499999996" header="0.31496062000000002" footer="0.31496062000000002"/>
  <pageSetup paperSize="9" scale="86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view="pageBreakPreview" topLeftCell="A67" zoomScale="70" zoomScaleNormal="100" zoomScaleSheetLayoutView="70" workbookViewId="0">
      <selection activeCell="G74" sqref="G74"/>
    </sheetView>
  </sheetViews>
  <sheetFormatPr defaultRowHeight="14.4" x14ac:dyDescent="0.3"/>
  <cols>
    <col min="1" max="1" width="11.77734375" customWidth="1"/>
    <col min="2" max="2" width="8.6640625" bestFit="1" customWidth="1"/>
    <col min="3" max="3" width="42.44140625" customWidth="1"/>
    <col min="4" max="4" width="87.6640625" customWidth="1"/>
    <col min="5" max="5" width="36" customWidth="1"/>
    <col min="6" max="6" width="43.44140625" customWidth="1"/>
    <col min="7" max="7" width="38.5546875" customWidth="1"/>
    <col min="9" max="9" width="39.44140625" customWidth="1"/>
  </cols>
  <sheetData>
    <row r="1" spans="1:10" s="201" customFormat="1" ht="64.5" customHeight="1" thickBot="1" x14ac:dyDescent="0.35">
      <c r="A1" s="241"/>
      <c r="B1" s="242"/>
      <c r="C1" s="243"/>
      <c r="D1" s="299" t="s">
        <v>240</v>
      </c>
      <c r="E1" s="300"/>
      <c r="F1" s="300"/>
      <c r="G1" s="301"/>
      <c r="H1" s="87"/>
      <c r="I1" s="87"/>
      <c r="J1" s="203"/>
    </row>
    <row r="2" spans="1:10" s="201" customFormat="1" ht="12.9" customHeight="1" x14ac:dyDescent="0.2">
      <c r="A2" s="244"/>
      <c r="B2" s="245"/>
      <c r="C2" s="246"/>
      <c r="D2" s="285" t="s">
        <v>17</v>
      </c>
      <c r="E2" s="253"/>
      <c r="F2" s="253"/>
      <c r="G2" s="286"/>
      <c r="H2" s="204"/>
      <c r="I2" s="204"/>
      <c r="J2" s="203"/>
    </row>
    <row r="3" spans="1:10" s="201" customFormat="1" ht="12.9" customHeight="1" x14ac:dyDescent="0.2">
      <c r="A3" s="244"/>
      <c r="B3" s="245"/>
      <c r="C3" s="246"/>
      <c r="D3" s="287" t="s">
        <v>18</v>
      </c>
      <c r="E3" s="228"/>
      <c r="F3" s="228"/>
      <c r="G3" s="230"/>
      <c r="H3" s="202"/>
      <c r="I3" s="202"/>
      <c r="J3" s="203"/>
    </row>
    <row r="4" spans="1:10" s="201" customFormat="1" ht="12.75" customHeight="1" x14ac:dyDescent="0.2">
      <c r="A4" s="244"/>
      <c r="B4" s="245"/>
      <c r="C4" s="246"/>
      <c r="D4" s="302" t="s">
        <v>19</v>
      </c>
      <c r="E4" s="231"/>
      <c r="F4" s="231"/>
      <c r="G4" s="232"/>
      <c r="H4" s="202"/>
      <c r="I4" s="202"/>
      <c r="J4" s="203"/>
    </row>
    <row r="5" spans="1:10" s="201" customFormat="1" ht="12.9" customHeight="1" x14ac:dyDescent="0.3">
      <c r="A5" s="244"/>
      <c r="B5" s="245"/>
      <c r="C5" s="246"/>
      <c r="D5" s="84" t="s">
        <v>333</v>
      </c>
      <c r="E5" s="303" t="s">
        <v>1</v>
      </c>
      <c r="F5" s="304"/>
      <c r="G5" s="205" t="s">
        <v>2</v>
      </c>
      <c r="H5" s="127"/>
      <c r="I5" s="127"/>
      <c r="J5" s="203"/>
    </row>
    <row r="6" spans="1:10" s="201" customFormat="1" ht="12.9" customHeight="1" x14ac:dyDescent="0.2">
      <c r="A6" s="244"/>
      <c r="B6" s="245"/>
      <c r="C6" s="246"/>
      <c r="D6" s="82" t="s">
        <v>141</v>
      </c>
      <c r="E6" s="305" t="s">
        <v>313</v>
      </c>
      <c r="F6" s="306"/>
      <c r="G6" s="296">
        <v>0.2258</v>
      </c>
      <c r="H6" s="298"/>
      <c r="I6" s="298"/>
      <c r="J6" s="203"/>
    </row>
    <row r="7" spans="1:10" ht="15.75" customHeight="1" thickBot="1" x14ac:dyDescent="0.35">
      <c r="A7" s="247"/>
      <c r="B7" s="248"/>
      <c r="C7" s="249"/>
      <c r="D7" s="83" t="s">
        <v>140</v>
      </c>
      <c r="E7" s="307" t="s">
        <v>298</v>
      </c>
      <c r="F7" s="308"/>
      <c r="G7" s="309"/>
      <c r="H7" s="298"/>
      <c r="I7" s="298"/>
      <c r="J7" s="85"/>
    </row>
    <row r="8" spans="1:10" ht="16.2" thickBot="1" x14ac:dyDescent="0.35">
      <c r="A8" s="185"/>
      <c r="B8" s="200"/>
      <c r="C8" s="199"/>
      <c r="D8" s="199"/>
      <c r="E8" s="199"/>
      <c r="F8" s="198"/>
      <c r="G8" s="197"/>
      <c r="H8" s="85"/>
      <c r="I8" s="85"/>
      <c r="J8" s="85"/>
    </row>
    <row r="9" spans="1:10" ht="16.2" thickBot="1" x14ac:dyDescent="0.35">
      <c r="A9" s="196">
        <v>1</v>
      </c>
      <c r="B9" s="170" t="s">
        <v>192</v>
      </c>
      <c r="C9" s="169" t="s">
        <v>191</v>
      </c>
      <c r="D9" s="169" t="s">
        <v>190</v>
      </c>
      <c r="E9" s="169" t="s">
        <v>189</v>
      </c>
      <c r="F9" s="168" t="s">
        <v>188</v>
      </c>
      <c r="G9" s="139" t="s">
        <v>3</v>
      </c>
    </row>
    <row r="10" spans="1:10" ht="60" customHeight="1" x14ac:dyDescent="0.3">
      <c r="A10" s="310" t="str">
        <f>[1]CRONOGRAMA!B13</f>
        <v>ESTUDOS DE ENGENHARIA E SERVIÇOS PRELIMINARES</v>
      </c>
      <c r="B10" s="194" t="s">
        <v>117</v>
      </c>
      <c r="C10" s="195" t="s">
        <v>239</v>
      </c>
      <c r="D10" s="195" t="s">
        <v>238</v>
      </c>
      <c r="E10" s="195" t="s">
        <v>237</v>
      </c>
      <c r="F10" s="152" t="s">
        <v>236</v>
      </c>
      <c r="G10" s="214">
        <f>2.4*1.2</f>
        <v>2.88</v>
      </c>
    </row>
    <row r="11" spans="1:10" ht="33.6" customHeight="1" thickBot="1" x14ac:dyDescent="0.35">
      <c r="A11" s="311"/>
      <c r="B11" s="160"/>
      <c r="C11" s="160"/>
      <c r="D11" s="160"/>
      <c r="E11" s="160"/>
      <c r="F11" s="160"/>
      <c r="G11" s="144"/>
    </row>
    <row r="12" spans="1:10" ht="16.2" thickBot="1" x14ac:dyDescent="0.35">
      <c r="A12" s="192">
        <v>2</v>
      </c>
      <c r="B12" s="180" t="s">
        <v>192</v>
      </c>
      <c r="C12" s="152" t="s">
        <v>191</v>
      </c>
      <c r="D12" s="152" t="s">
        <v>190</v>
      </c>
      <c r="E12" s="152" t="s">
        <v>189</v>
      </c>
      <c r="F12" s="32" t="s">
        <v>188</v>
      </c>
      <c r="G12" s="135" t="s">
        <v>3</v>
      </c>
    </row>
    <row r="13" spans="1:10" ht="117.6" customHeight="1" x14ac:dyDescent="0.3">
      <c r="A13" s="310" t="str">
        <f>[1]CRONOGRAMA!B14</f>
        <v>MOBILIZAÇÃO E DESMOBILIZAÇÃO</v>
      </c>
      <c r="B13" s="180" t="s">
        <v>16</v>
      </c>
      <c r="C13" s="31" t="s">
        <v>279</v>
      </c>
      <c r="D13" s="55" t="s">
        <v>308</v>
      </c>
      <c r="E13" s="179" t="s">
        <v>280</v>
      </c>
      <c r="F13" s="152" t="s">
        <v>310</v>
      </c>
      <c r="G13" s="214">
        <f>5.5*2.4*60</f>
        <v>792</v>
      </c>
      <c r="I13" s="212"/>
    </row>
    <row r="14" spans="1:10" ht="115.2" x14ac:dyDescent="0.3">
      <c r="A14" s="313"/>
      <c r="B14" s="194" t="s">
        <v>25</v>
      </c>
      <c r="C14" s="31" t="s">
        <v>281</v>
      </c>
      <c r="D14" s="55" t="s">
        <v>309</v>
      </c>
      <c r="E14" s="179" t="s">
        <v>280</v>
      </c>
      <c r="F14" s="152" t="s">
        <v>310</v>
      </c>
      <c r="G14" s="214">
        <f>5.5*2.4*60</f>
        <v>792</v>
      </c>
    </row>
    <row r="15" spans="1:10" ht="29.4" customHeight="1" thickBot="1" x14ac:dyDescent="0.35">
      <c r="A15" s="314"/>
      <c r="B15" s="193"/>
      <c r="C15" s="187"/>
      <c r="D15" s="187"/>
      <c r="E15" s="187"/>
      <c r="F15" s="189"/>
      <c r="G15" s="186"/>
    </row>
    <row r="16" spans="1:10" ht="16.2" thickBot="1" x14ac:dyDescent="0.35">
      <c r="A16" s="192">
        <v>3</v>
      </c>
      <c r="B16" s="170" t="s">
        <v>192</v>
      </c>
      <c r="C16" s="169" t="s">
        <v>191</v>
      </c>
      <c r="D16" s="169" t="s">
        <v>190</v>
      </c>
      <c r="E16" s="169" t="s">
        <v>189</v>
      </c>
      <c r="F16" s="168" t="s">
        <v>188</v>
      </c>
      <c r="G16" s="139" t="s">
        <v>3</v>
      </c>
    </row>
    <row r="17" spans="1:7" s="54" customFormat="1" ht="28.8" x14ac:dyDescent="0.3">
      <c r="A17" s="315" t="str">
        <f>[1]CRONOGRAMA!B15</f>
        <v>ADMINISTRAÇÃO DE CANTEIRO DE OBRAS</v>
      </c>
      <c r="B17" s="191" t="s">
        <v>23</v>
      </c>
      <c r="C17" s="151" t="s">
        <v>104</v>
      </c>
      <c r="D17" s="151" t="s">
        <v>235</v>
      </c>
      <c r="E17" s="151" t="s">
        <v>228</v>
      </c>
      <c r="F17" s="149" t="s">
        <v>234</v>
      </c>
      <c r="G17" s="214">
        <f>1*22*3</f>
        <v>66</v>
      </c>
    </row>
    <row r="18" spans="1:7" s="54" customFormat="1" ht="28.8" x14ac:dyDescent="0.3">
      <c r="A18" s="315"/>
      <c r="B18" s="191" t="s">
        <v>24</v>
      </c>
      <c r="C18" s="149" t="s">
        <v>31</v>
      </c>
      <c r="D18" s="151" t="s">
        <v>233</v>
      </c>
      <c r="E18" s="31" t="s">
        <v>228</v>
      </c>
      <c r="F18" s="149" t="s">
        <v>301</v>
      </c>
      <c r="G18" s="214">
        <f>2*22*3</f>
        <v>132</v>
      </c>
    </row>
    <row r="19" spans="1:7" s="54" customFormat="1" ht="28.8" x14ac:dyDescent="0.3">
      <c r="A19" s="315"/>
      <c r="B19" s="191" t="s">
        <v>32</v>
      </c>
      <c r="C19" s="151" t="s">
        <v>232</v>
      </c>
      <c r="D19" s="151" t="s">
        <v>231</v>
      </c>
      <c r="E19" s="151" t="s">
        <v>228</v>
      </c>
      <c r="F19" s="149" t="s">
        <v>311</v>
      </c>
      <c r="G19" s="214">
        <f>1*22*1</f>
        <v>22</v>
      </c>
    </row>
    <row r="20" spans="1:7" s="54" customFormat="1" x14ac:dyDescent="0.3">
      <c r="A20" s="315"/>
      <c r="B20" s="191" t="s">
        <v>33</v>
      </c>
      <c r="C20" s="151" t="s">
        <v>230</v>
      </c>
      <c r="D20" s="149" t="s">
        <v>229</v>
      </c>
      <c r="E20" s="151" t="s">
        <v>228</v>
      </c>
      <c r="F20" s="149" t="s">
        <v>227</v>
      </c>
      <c r="G20" s="215">
        <f>5*22*3</f>
        <v>330</v>
      </c>
    </row>
    <row r="21" spans="1:7" x14ac:dyDescent="0.3">
      <c r="A21" s="315"/>
      <c r="B21" s="188"/>
      <c r="C21" s="187"/>
      <c r="D21" s="190"/>
      <c r="E21" s="187"/>
      <c r="F21" s="189"/>
      <c r="G21" s="186"/>
    </row>
    <row r="22" spans="1:7" ht="15" thickBot="1" x14ac:dyDescent="0.35">
      <c r="A22" s="316"/>
      <c r="B22" s="188"/>
      <c r="C22" s="187"/>
      <c r="D22" s="187"/>
      <c r="E22" s="187"/>
      <c r="F22" s="160"/>
      <c r="G22" s="186"/>
    </row>
    <row r="23" spans="1:7" ht="16.2" thickBot="1" x14ac:dyDescent="0.35">
      <c r="A23" s="185"/>
      <c r="B23" s="184"/>
      <c r="C23" s="183"/>
      <c r="D23" s="183"/>
      <c r="E23" s="183"/>
      <c r="F23" s="183"/>
      <c r="G23" s="182"/>
    </row>
    <row r="24" spans="1:7" ht="15" thickBot="1" x14ac:dyDescent="0.35">
      <c r="A24" s="181">
        <v>4</v>
      </c>
      <c r="B24" s="180" t="s">
        <v>192</v>
      </c>
      <c r="C24" s="152" t="s">
        <v>191</v>
      </c>
      <c r="D24" s="152" t="s">
        <v>190</v>
      </c>
      <c r="E24" s="152" t="s">
        <v>189</v>
      </c>
      <c r="F24" s="32" t="s">
        <v>188</v>
      </c>
      <c r="G24" s="135" t="s">
        <v>3</v>
      </c>
    </row>
    <row r="25" spans="1:7" ht="43.2" x14ac:dyDescent="0.3">
      <c r="A25" s="317" t="str">
        <f>[1]CRONOGRAMA!B16</f>
        <v>INFRAESTRUTURA - ESTACA RAIZ E BLOCO</v>
      </c>
      <c r="B25" s="102" t="s">
        <v>37</v>
      </c>
      <c r="C25" s="152" t="s">
        <v>47</v>
      </c>
      <c r="D25" s="152" t="s">
        <v>226</v>
      </c>
      <c r="E25" s="149" t="s">
        <v>223</v>
      </c>
      <c r="F25" s="179" t="s">
        <v>241</v>
      </c>
      <c r="G25" s="217">
        <f>0.576+6.27</f>
        <v>6.8459999999999992</v>
      </c>
    </row>
    <row r="26" spans="1:7" ht="43.2" x14ac:dyDescent="0.3">
      <c r="A26" s="318"/>
      <c r="B26" s="207" t="s">
        <v>38</v>
      </c>
      <c r="C26" s="152" t="s">
        <v>296</v>
      </c>
      <c r="D26" s="149" t="s">
        <v>225</v>
      </c>
      <c r="E26" s="149" t="s">
        <v>224</v>
      </c>
      <c r="F26" s="179" t="s">
        <v>242</v>
      </c>
      <c r="G26" s="217">
        <f>14*20</f>
        <v>280</v>
      </c>
    </row>
    <row r="27" spans="1:7" ht="57.6" x14ac:dyDescent="0.3">
      <c r="A27" s="318"/>
      <c r="B27" s="207" t="s">
        <v>39</v>
      </c>
      <c r="C27" s="162" t="s">
        <v>339</v>
      </c>
      <c r="D27" s="152" t="s">
        <v>337</v>
      </c>
      <c r="E27" s="149" t="s">
        <v>223</v>
      </c>
      <c r="F27" s="179" t="s">
        <v>241</v>
      </c>
      <c r="G27" s="217">
        <f>0.576+6.27</f>
        <v>6.8459999999999992</v>
      </c>
    </row>
    <row r="28" spans="1:7" s="54" customFormat="1" ht="43.2" x14ac:dyDescent="0.3">
      <c r="A28" s="318"/>
      <c r="B28" s="207" t="s">
        <v>40</v>
      </c>
      <c r="C28" s="162" t="s">
        <v>49</v>
      </c>
      <c r="D28" s="149" t="s">
        <v>338</v>
      </c>
      <c r="E28" s="149" t="s">
        <v>222</v>
      </c>
      <c r="F28" s="179" t="s">
        <v>241</v>
      </c>
      <c r="G28" s="217">
        <f>0.576+6.27</f>
        <v>6.8459999999999992</v>
      </c>
    </row>
    <row r="29" spans="1:7" ht="72.75" customHeight="1" x14ac:dyDescent="0.3">
      <c r="A29" s="318"/>
      <c r="B29" s="207" t="s">
        <v>42</v>
      </c>
      <c r="C29" s="165" t="s">
        <v>51</v>
      </c>
      <c r="D29" s="149" t="s">
        <v>220</v>
      </c>
      <c r="E29" s="149" t="s">
        <v>221</v>
      </c>
      <c r="F29" s="149" t="s">
        <v>243</v>
      </c>
      <c r="G29" s="215">
        <f>0.245*1961</f>
        <v>480.44499999999999</v>
      </c>
    </row>
    <row r="30" spans="1:7" ht="72.75" customHeight="1" x14ac:dyDescent="0.3">
      <c r="A30" s="318"/>
      <c r="B30" s="207" t="s">
        <v>43</v>
      </c>
      <c r="C30" s="165" t="s">
        <v>52</v>
      </c>
      <c r="D30" s="149" t="s">
        <v>220</v>
      </c>
      <c r="E30" s="149" t="s">
        <v>210</v>
      </c>
      <c r="F30" s="149" t="s">
        <v>255</v>
      </c>
      <c r="G30" s="215">
        <f>0.395*218.63</f>
        <v>86.358850000000004</v>
      </c>
    </row>
    <row r="31" spans="1:7" ht="72.75" customHeight="1" x14ac:dyDescent="0.3">
      <c r="A31" s="318"/>
      <c r="B31" s="207" t="s">
        <v>44</v>
      </c>
      <c r="C31" s="165" t="s">
        <v>53</v>
      </c>
      <c r="D31" s="149" t="s">
        <v>220</v>
      </c>
      <c r="E31" s="149" t="s">
        <v>208</v>
      </c>
      <c r="F31" s="149" t="s">
        <v>245</v>
      </c>
      <c r="G31" s="215">
        <f>0.963*1120</f>
        <v>1078.56</v>
      </c>
    </row>
    <row r="32" spans="1:7" ht="72.75" customHeight="1" x14ac:dyDescent="0.3">
      <c r="A32" s="318"/>
      <c r="B32" s="207" t="s">
        <v>219</v>
      </c>
      <c r="C32" s="31" t="s">
        <v>247</v>
      </c>
      <c r="D32" s="149" t="s">
        <v>220</v>
      </c>
      <c r="E32" s="149" t="s">
        <v>253</v>
      </c>
      <c r="F32" s="149" t="s">
        <v>254</v>
      </c>
      <c r="G32" s="215">
        <f>1.578*84</f>
        <v>132.55199999999999</v>
      </c>
    </row>
    <row r="33" spans="1:7" ht="72.75" customHeight="1" x14ac:dyDescent="0.3">
      <c r="A33" s="318"/>
      <c r="B33" s="207" t="s">
        <v>45</v>
      </c>
      <c r="C33" s="165" t="s">
        <v>55</v>
      </c>
      <c r="D33" s="152" t="s">
        <v>218</v>
      </c>
      <c r="E33" s="149" t="s">
        <v>217</v>
      </c>
      <c r="F33" s="149" t="s">
        <v>260</v>
      </c>
      <c r="G33" s="215">
        <f>3.84+17.92</f>
        <v>21.76</v>
      </c>
    </row>
    <row r="34" spans="1:7" x14ac:dyDescent="0.3">
      <c r="A34" s="318"/>
      <c r="B34" s="178"/>
      <c r="C34" s="160"/>
      <c r="D34" s="160"/>
      <c r="E34" s="160"/>
      <c r="F34" s="160"/>
      <c r="G34" s="144"/>
    </row>
    <row r="35" spans="1:7" ht="15" thickBot="1" x14ac:dyDescent="0.35">
      <c r="A35" s="319"/>
      <c r="B35" s="171"/>
      <c r="C35" s="145"/>
      <c r="D35" s="145"/>
      <c r="E35" s="145"/>
      <c r="F35" s="145"/>
      <c r="G35" s="158"/>
    </row>
    <row r="36" spans="1:7" ht="16.2" thickBot="1" x14ac:dyDescent="0.35">
      <c r="A36" s="320"/>
      <c r="B36" s="321"/>
      <c r="C36" s="322"/>
      <c r="D36" s="322"/>
      <c r="E36" s="322"/>
      <c r="F36" s="322"/>
      <c r="G36" s="323"/>
    </row>
    <row r="37" spans="1:7" ht="16.2" thickBot="1" x14ac:dyDescent="0.35">
      <c r="A37" s="177">
        <v>5</v>
      </c>
      <c r="B37" s="176" t="s">
        <v>192</v>
      </c>
      <c r="C37" s="175" t="s">
        <v>191</v>
      </c>
      <c r="D37" s="169" t="s">
        <v>190</v>
      </c>
      <c r="E37" s="169" t="s">
        <v>189</v>
      </c>
      <c r="F37" s="168" t="s">
        <v>188</v>
      </c>
      <c r="G37" s="139" t="s">
        <v>3</v>
      </c>
    </row>
    <row r="38" spans="1:7" s="54" customFormat="1" ht="57.6" x14ac:dyDescent="0.3">
      <c r="A38" s="317" t="str">
        <f>[1]CRONOGRAMA!B17</f>
        <v>MESOESTRUTURA - CORTINA E PILARES</v>
      </c>
      <c r="B38" s="173" t="s">
        <v>216</v>
      </c>
      <c r="C38" s="162" t="s">
        <v>52</v>
      </c>
      <c r="D38" s="149" t="s">
        <v>215</v>
      </c>
      <c r="E38" s="149" t="s">
        <v>248</v>
      </c>
      <c r="F38" s="149" t="s">
        <v>256</v>
      </c>
      <c r="G38" s="215">
        <f>0.395*1032.35</f>
        <v>407.77824999999996</v>
      </c>
    </row>
    <row r="39" spans="1:7" s="54" customFormat="1" ht="57.6" x14ac:dyDescent="0.3">
      <c r="A39" s="315"/>
      <c r="B39" s="173" t="s">
        <v>57</v>
      </c>
      <c r="C39" s="162" t="s">
        <v>58</v>
      </c>
      <c r="D39" s="149" t="s">
        <v>215</v>
      </c>
      <c r="E39" s="149" t="s">
        <v>249</v>
      </c>
      <c r="F39" s="149" t="s">
        <v>257</v>
      </c>
      <c r="G39" s="215">
        <f>0.617*1134.52</f>
        <v>699.99883999999997</v>
      </c>
    </row>
    <row r="40" spans="1:7" s="54" customFormat="1" ht="57.6" x14ac:dyDescent="0.3">
      <c r="A40" s="315"/>
      <c r="B40" s="173" t="s">
        <v>59</v>
      </c>
      <c r="C40" s="162" t="s">
        <v>53</v>
      </c>
      <c r="D40" s="149" t="s">
        <v>215</v>
      </c>
      <c r="E40" s="149" t="s">
        <v>250</v>
      </c>
      <c r="F40" s="149" t="s">
        <v>246</v>
      </c>
      <c r="G40" s="215">
        <f>0.963*44.8</f>
        <v>43.142399999999995</v>
      </c>
    </row>
    <row r="41" spans="1:7" s="54" customFormat="1" ht="72" x14ac:dyDescent="0.3">
      <c r="A41" s="315"/>
      <c r="B41" s="173" t="s">
        <v>60</v>
      </c>
      <c r="C41" s="31" t="s">
        <v>247</v>
      </c>
      <c r="D41" s="149" t="s">
        <v>215</v>
      </c>
      <c r="E41" s="149" t="s">
        <v>251</v>
      </c>
      <c r="F41" s="149" t="s">
        <v>252</v>
      </c>
      <c r="G41" s="215">
        <f>1.578*246.4</f>
        <v>388.81920000000002</v>
      </c>
    </row>
    <row r="42" spans="1:7" s="54" customFormat="1" ht="106.2" customHeight="1" x14ac:dyDescent="0.3">
      <c r="A42" s="318"/>
      <c r="B42" s="173" t="s">
        <v>214</v>
      </c>
      <c r="C42" s="162" t="s">
        <v>339</v>
      </c>
      <c r="D42" s="149" t="s">
        <v>336</v>
      </c>
      <c r="E42" s="149" t="s">
        <v>258</v>
      </c>
      <c r="F42" s="174" t="s">
        <v>259</v>
      </c>
      <c r="G42" s="218">
        <f>29.96+2.69</f>
        <v>32.65</v>
      </c>
    </row>
    <row r="43" spans="1:7" s="54" customFormat="1" ht="106.2" customHeight="1" x14ac:dyDescent="0.3">
      <c r="A43" s="318"/>
      <c r="B43" s="173" t="s">
        <v>61</v>
      </c>
      <c r="C43" s="165" t="s">
        <v>49</v>
      </c>
      <c r="D43" s="149" t="s">
        <v>335</v>
      </c>
      <c r="E43" s="149" t="s">
        <v>258</v>
      </c>
      <c r="F43" s="174" t="s">
        <v>259</v>
      </c>
      <c r="G43" s="218">
        <f>29.96+2.69</f>
        <v>32.65</v>
      </c>
    </row>
    <row r="44" spans="1:7" s="54" customFormat="1" ht="77.25" customHeight="1" x14ac:dyDescent="0.3">
      <c r="A44" s="318"/>
      <c r="B44" s="173" t="s">
        <v>62</v>
      </c>
      <c r="C44" s="149" t="s">
        <v>55</v>
      </c>
      <c r="D44" s="149" t="s">
        <v>213</v>
      </c>
      <c r="E44" s="149" t="s">
        <v>212</v>
      </c>
      <c r="F44" s="149" t="s">
        <v>261</v>
      </c>
      <c r="G44" s="218">
        <f>149.8+4.8</f>
        <v>154.60000000000002</v>
      </c>
    </row>
    <row r="45" spans="1:7" x14ac:dyDescent="0.3">
      <c r="A45" s="318"/>
      <c r="B45" s="172"/>
      <c r="C45" s="160"/>
      <c r="D45" s="160"/>
      <c r="E45" s="160"/>
      <c r="F45" s="160"/>
      <c r="G45" s="144"/>
    </row>
    <row r="46" spans="1:7" ht="15" thickBot="1" x14ac:dyDescent="0.35">
      <c r="A46" s="319"/>
      <c r="B46" s="171"/>
      <c r="C46" s="145"/>
      <c r="D46" s="145"/>
      <c r="E46" s="145"/>
      <c r="F46" s="145"/>
      <c r="G46" s="158"/>
    </row>
    <row r="47" spans="1:7" ht="16.2" thickBot="1" x14ac:dyDescent="0.35">
      <c r="A47" s="320"/>
      <c r="B47" s="322"/>
      <c r="C47" s="322"/>
      <c r="D47" s="322"/>
      <c r="E47" s="322"/>
      <c r="F47" s="322"/>
      <c r="G47" s="323"/>
    </row>
    <row r="48" spans="1:7" ht="16.2" thickBot="1" x14ac:dyDescent="0.35">
      <c r="A48" s="157">
        <v>6</v>
      </c>
      <c r="B48" s="170" t="s">
        <v>192</v>
      </c>
      <c r="C48" s="169" t="s">
        <v>191</v>
      </c>
      <c r="D48" s="169" t="s">
        <v>190</v>
      </c>
      <c r="E48" s="169" t="s">
        <v>189</v>
      </c>
      <c r="F48" s="168" t="s">
        <v>188</v>
      </c>
      <c r="G48" s="139" t="s">
        <v>3</v>
      </c>
    </row>
    <row r="49" spans="1:7" ht="57.6" x14ac:dyDescent="0.3">
      <c r="A49" s="327" t="str">
        <f>[1]CRONOGRAMA!B18</f>
        <v>SUPERESTRUTURA</v>
      </c>
      <c r="B49" s="9" t="s">
        <v>211</v>
      </c>
      <c r="C49" s="167" t="s">
        <v>52</v>
      </c>
      <c r="D49" s="152" t="s">
        <v>206</v>
      </c>
      <c r="E49" s="149" t="s">
        <v>340</v>
      </c>
      <c r="F49" s="149" t="s">
        <v>209</v>
      </c>
      <c r="G49" s="215">
        <f>0.395*495.32</f>
        <v>195.6514</v>
      </c>
    </row>
    <row r="50" spans="1:7" ht="57.6" x14ac:dyDescent="0.3">
      <c r="A50" s="315"/>
      <c r="B50" s="9" t="s">
        <v>64</v>
      </c>
      <c r="C50" s="166" t="s">
        <v>58</v>
      </c>
      <c r="D50" s="152" t="s">
        <v>206</v>
      </c>
      <c r="E50" s="149" t="s">
        <v>341</v>
      </c>
      <c r="F50" s="149" t="s">
        <v>332</v>
      </c>
      <c r="G50" s="215">
        <f>(0.617*132.38)+(0.617*336)</f>
        <v>288.99045999999998</v>
      </c>
    </row>
    <row r="51" spans="1:7" ht="57.6" x14ac:dyDescent="0.3">
      <c r="A51" s="315"/>
      <c r="B51" s="9" t="s">
        <v>65</v>
      </c>
      <c r="C51" s="166" t="s">
        <v>71</v>
      </c>
      <c r="D51" s="152" t="s">
        <v>206</v>
      </c>
      <c r="E51" s="149" t="s">
        <v>342</v>
      </c>
      <c r="F51" s="149" t="s">
        <v>244</v>
      </c>
      <c r="G51" s="215">
        <f>3.853*267.2</f>
        <v>1029.5216</v>
      </c>
    </row>
    <row r="52" spans="1:7" ht="76.2" customHeight="1" x14ac:dyDescent="0.3">
      <c r="A52" s="315"/>
      <c r="B52" s="9" t="s">
        <v>207</v>
      </c>
      <c r="C52" s="227" t="s">
        <v>339</v>
      </c>
      <c r="D52" s="152" t="s">
        <v>343</v>
      </c>
      <c r="E52" s="164" t="s">
        <v>205</v>
      </c>
      <c r="F52" s="152" t="s">
        <v>344</v>
      </c>
      <c r="G52" s="219">
        <f>2.88+0.8+0.72</f>
        <v>4.3999999999999995</v>
      </c>
    </row>
    <row r="53" spans="1:7" ht="77.400000000000006" customHeight="1" x14ac:dyDescent="0.3">
      <c r="A53" s="315"/>
      <c r="B53" s="9" t="s">
        <v>66</v>
      </c>
      <c r="C53" s="165" t="s">
        <v>49</v>
      </c>
      <c r="D53" s="152" t="s">
        <v>343</v>
      </c>
      <c r="E53" s="164" t="s">
        <v>204</v>
      </c>
      <c r="F53" s="152" t="s">
        <v>344</v>
      </c>
      <c r="G53" s="219">
        <f>2.88+0.8+0.72</f>
        <v>4.3999999999999995</v>
      </c>
    </row>
    <row r="54" spans="1:7" ht="87" customHeight="1" x14ac:dyDescent="0.3">
      <c r="A54" s="315"/>
      <c r="B54" s="9" t="s">
        <v>67</v>
      </c>
      <c r="C54" s="162" t="s">
        <v>55</v>
      </c>
      <c r="D54" s="152" t="s">
        <v>262</v>
      </c>
      <c r="E54" s="149" t="s">
        <v>263</v>
      </c>
      <c r="F54" s="152" t="s">
        <v>265</v>
      </c>
      <c r="G54" s="219">
        <f>55.2+2.85+5.4+19.2</f>
        <v>82.65</v>
      </c>
    </row>
    <row r="55" spans="1:7" ht="28.8" x14ac:dyDescent="0.3">
      <c r="A55" s="315"/>
      <c r="B55" s="9" t="s">
        <v>68</v>
      </c>
      <c r="C55" s="162" t="s">
        <v>203</v>
      </c>
      <c r="D55" s="163" t="s">
        <v>202</v>
      </c>
      <c r="E55" s="149" t="s">
        <v>317</v>
      </c>
      <c r="F55" s="152" t="s">
        <v>316</v>
      </c>
      <c r="G55" s="219">
        <f>(4.2*12)+(12)</f>
        <v>62.400000000000006</v>
      </c>
    </row>
    <row r="56" spans="1:7" ht="28.8" x14ac:dyDescent="0.3">
      <c r="A56" s="315"/>
      <c r="B56" s="9" t="s">
        <v>69</v>
      </c>
      <c r="C56" s="162" t="s">
        <v>72</v>
      </c>
      <c r="D56" s="152" t="s">
        <v>201</v>
      </c>
      <c r="E56" s="149" t="s">
        <v>200</v>
      </c>
      <c r="F56" s="152" t="s">
        <v>264</v>
      </c>
      <c r="G56" s="219">
        <f>3.2*50.4</f>
        <v>161.28</v>
      </c>
    </row>
    <row r="57" spans="1:7" ht="99" customHeight="1" x14ac:dyDescent="0.3">
      <c r="A57" s="315"/>
      <c r="B57" s="9" t="s">
        <v>70</v>
      </c>
      <c r="C57" s="162" t="s">
        <v>74</v>
      </c>
      <c r="D57" s="152" t="s">
        <v>199</v>
      </c>
      <c r="E57" s="149" t="s">
        <v>198</v>
      </c>
      <c r="F57" s="152" t="s">
        <v>197</v>
      </c>
      <c r="G57" s="219">
        <v>14.4</v>
      </c>
    </row>
    <row r="58" spans="1:7" x14ac:dyDescent="0.3">
      <c r="A58" s="318"/>
      <c r="B58" s="161"/>
      <c r="C58" s="160"/>
      <c r="D58" s="160"/>
      <c r="E58" s="160"/>
      <c r="F58" s="160"/>
      <c r="G58" s="144"/>
    </row>
    <row r="59" spans="1:7" ht="15" thickBot="1" x14ac:dyDescent="0.35">
      <c r="A59" s="319"/>
      <c r="B59" s="159"/>
      <c r="C59" s="145"/>
      <c r="D59" s="145"/>
      <c r="E59" s="145"/>
      <c r="F59" s="145"/>
      <c r="G59" s="158"/>
    </row>
    <row r="60" spans="1:7" ht="16.2" thickBot="1" x14ac:dyDescent="0.35">
      <c r="A60" s="320"/>
      <c r="B60" s="321"/>
      <c r="C60" s="321"/>
      <c r="D60" s="321"/>
      <c r="E60" s="321"/>
      <c r="F60" s="321"/>
      <c r="G60" s="328"/>
    </row>
    <row r="61" spans="1:7" ht="16.2" thickBot="1" x14ac:dyDescent="0.35">
      <c r="A61" s="157">
        <v>7</v>
      </c>
      <c r="B61" s="156" t="s">
        <v>192</v>
      </c>
      <c r="C61" s="155" t="s">
        <v>191</v>
      </c>
      <c r="D61" s="136" t="s">
        <v>190</v>
      </c>
      <c r="E61" s="136" t="s">
        <v>189</v>
      </c>
      <c r="F61" s="140" t="s">
        <v>188</v>
      </c>
      <c r="G61" s="154" t="s">
        <v>3</v>
      </c>
    </row>
    <row r="62" spans="1:7" ht="69.599999999999994" customHeight="1" x14ac:dyDescent="0.3">
      <c r="A62" s="327" t="str">
        <f>[1]CRONOGRAMA!B19</f>
        <v>SERVIÇOS FINAIS E ACABAMENTOS</v>
      </c>
      <c r="B62" s="150" t="s">
        <v>78</v>
      </c>
      <c r="C62" s="149" t="s">
        <v>81</v>
      </c>
      <c r="D62" s="153" t="s">
        <v>196</v>
      </c>
      <c r="E62" s="149" t="s">
        <v>195</v>
      </c>
      <c r="F62" s="152" t="s">
        <v>323</v>
      </c>
      <c r="G62" s="219">
        <f>62.4+31.2+22.8</f>
        <v>116.39999999999999</v>
      </c>
    </row>
    <row r="63" spans="1:7" s="54" customFormat="1" ht="28.8" x14ac:dyDescent="0.3">
      <c r="A63" s="315"/>
      <c r="B63" s="150" t="s">
        <v>79</v>
      </c>
      <c r="C63" s="149" t="s">
        <v>106</v>
      </c>
      <c r="D63" s="151" t="s">
        <v>194</v>
      </c>
      <c r="E63" s="149" t="s">
        <v>320</v>
      </c>
      <c r="F63" s="132" t="s">
        <v>321</v>
      </c>
      <c r="G63" s="220">
        <f>(12/5)*2</f>
        <v>4.8</v>
      </c>
    </row>
    <row r="64" spans="1:7" s="54" customFormat="1" ht="100.8" x14ac:dyDescent="0.3">
      <c r="A64" s="315"/>
      <c r="B64" s="150" t="s">
        <v>80</v>
      </c>
      <c r="C64" s="31" t="s">
        <v>314</v>
      </c>
      <c r="D64" s="149" t="s">
        <v>326</v>
      </c>
      <c r="E64" s="149" t="s">
        <v>322</v>
      </c>
      <c r="F64" s="132" t="s">
        <v>329</v>
      </c>
      <c r="G64" s="222">
        <v>12</v>
      </c>
    </row>
    <row r="65" spans="1:7" s="54" customFormat="1" ht="57.6" x14ac:dyDescent="0.3">
      <c r="A65" s="315"/>
      <c r="B65" s="150" t="s">
        <v>295</v>
      </c>
      <c r="C65" s="31" t="s">
        <v>299</v>
      </c>
      <c r="D65" s="149" t="s">
        <v>325</v>
      </c>
      <c r="E65" s="149" t="s">
        <v>327</v>
      </c>
      <c r="F65" s="132" t="s">
        <v>330</v>
      </c>
      <c r="G65" s="222">
        <f>0.29*2</f>
        <v>0.57999999999999996</v>
      </c>
    </row>
    <row r="66" spans="1:7" s="54" customFormat="1" ht="72" x14ac:dyDescent="0.3">
      <c r="A66" s="315"/>
      <c r="B66" s="150" t="s">
        <v>297</v>
      </c>
      <c r="C66" s="31" t="s">
        <v>300</v>
      </c>
      <c r="D66" s="149" t="s">
        <v>324</v>
      </c>
      <c r="E66" s="149" t="s">
        <v>328</v>
      </c>
      <c r="F66" s="132" t="s">
        <v>331</v>
      </c>
      <c r="G66" s="222">
        <v>2</v>
      </c>
    </row>
    <row r="67" spans="1:7" s="54" customFormat="1" ht="29.4" thickBot="1" x14ac:dyDescent="0.35">
      <c r="A67" s="315"/>
      <c r="B67" s="150" t="s">
        <v>315</v>
      </c>
      <c r="C67" s="149" t="s">
        <v>82</v>
      </c>
      <c r="D67" s="149" t="s">
        <v>193</v>
      </c>
      <c r="E67" s="149" t="s">
        <v>318</v>
      </c>
      <c r="F67" s="132" t="s">
        <v>319</v>
      </c>
      <c r="G67" s="220">
        <f>5.2*12</f>
        <v>62.400000000000006</v>
      </c>
    </row>
    <row r="68" spans="1:7" x14ac:dyDescent="0.3">
      <c r="A68" s="312"/>
      <c r="B68" s="146"/>
      <c r="C68" s="148"/>
      <c r="D68" s="148"/>
      <c r="E68" s="148"/>
      <c r="F68" s="148"/>
      <c r="G68" s="147"/>
    </row>
    <row r="69" spans="1:7" ht="15" thickBot="1" x14ac:dyDescent="0.35">
      <c r="A69" s="312"/>
      <c r="B69" s="146"/>
      <c r="C69" s="145"/>
      <c r="D69" s="145"/>
      <c r="E69" s="145"/>
      <c r="F69" s="145"/>
      <c r="G69" s="144"/>
    </row>
    <row r="70" spans="1:7" ht="16.2" thickBot="1" x14ac:dyDescent="0.35">
      <c r="A70" s="143">
        <v>8</v>
      </c>
      <c r="B70" s="142" t="s">
        <v>192</v>
      </c>
      <c r="C70" s="141" t="s">
        <v>191</v>
      </c>
      <c r="D70" s="136" t="s">
        <v>190</v>
      </c>
      <c r="E70" s="136" t="s">
        <v>189</v>
      </c>
      <c r="F70" s="140" t="s">
        <v>188</v>
      </c>
      <c r="G70" s="139" t="s">
        <v>3</v>
      </c>
    </row>
    <row r="71" spans="1:7" ht="66.75" customHeight="1" x14ac:dyDescent="0.3">
      <c r="A71" s="324" t="str">
        <f>[1]CRONOGRAMA!B20</f>
        <v>TRANSPORTES</v>
      </c>
      <c r="B71" s="100" t="s">
        <v>84</v>
      </c>
      <c r="C71" s="137" t="s">
        <v>108</v>
      </c>
      <c r="D71" s="208" t="s">
        <v>268</v>
      </c>
      <c r="E71" s="138" t="s">
        <v>273</v>
      </c>
      <c r="F71" s="55" t="s">
        <v>269</v>
      </c>
      <c r="G71" s="215">
        <f>70.2*0.65*228</f>
        <v>10403.640000000001</v>
      </c>
    </row>
    <row r="72" spans="1:7" ht="53.4" x14ac:dyDescent="0.3">
      <c r="A72" s="325"/>
      <c r="B72" s="100" t="s">
        <v>85</v>
      </c>
      <c r="C72" s="137" t="s">
        <v>109</v>
      </c>
      <c r="D72" s="208" t="s">
        <v>271</v>
      </c>
      <c r="E72" s="138" t="s">
        <v>272</v>
      </c>
      <c r="F72" s="55" t="s">
        <v>270</v>
      </c>
      <c r="G72" s="215">
        <f>70.2*0.65*89.6</f>
        <v>4088.4479999999999</v>
      </c>
    </row>
    <row r="73" spans="1:7" s="54" customFormat="1" ht="174" customHeight="1" x14ac:dyDescent="0.3">
      <c r="A73" s="325"/>
      <c r="B73" s="100" t="s">
        <v>86</v>
      </c>
      <c r="C73" s="134" t="s">
        <v>110</v>
      </c>
      <c r="D73" s="133" t="s">
        <v>187</v>
      </c>
      <c r="E73" s="132" t="s">
        <v>274</v>
      </c>
      <c r="F73" s="31" t="s">
        <v>277</v>
      </c>
      <c r="G73" s="215">
        <f>21.93*330</f>
        <v>7236.9</v>
      </c>
    </row>
    <row r="74" spans="1:7" s="54" customFormat="1" ht="82.5" customHeight="1" x14ac:dyDescent="0.3">
      <c r="A74" s="325"/>
      <c r="B74" s="100" t="s">
        <v>88</v>
      </c>
      <c r="C74" s="134" t="s">
        <v>107</v>
      </c>
      <c r="D74" s="133" t="s">
        <v>186</v>
      </c>
      <c r="E74" s="132" t="s">
        <v>275</v>
      </c>
      <c r="F74" s="31" t="s">
        <v>276</v>
      </c>
      <c r="G74" s="220">
        <f>4.62*116.4</f>
        <v>537.76800000000003</v>
      </c>
    </row>
    <row r="75" spans="1:7" ht="15" thickBot="1" x14ac:dyDescent="0.35">
      <c r="A75" s="326"/>
      <c r="B75" s="130"/>
      <c r="C75" s="130"/>
      <c r="D75" s="131"/>
      <c r="E75" s="130"/>
      <c r="F75" s="130"/>
      <c r="G75" s="129"/>
    </row>
    <row r="76" spans="1:7" x14ac:dyDescent="0.3">
      <c r="A76" s="26"/>
      <c r="B76" s="85"/>
      <c r="C76" s="85"/>
      <c r="D76" s="85"/>
      <c r="E76" s="85"/>
      <c r="F76" s="85"/>
      <c r="G76" s="27"/>
    </row>
    <row r="77" spans="1:7" x14ac:dyDescent="0.3">
      <c r="A77" s="26"/>
      <c r="B77" s="85"/>
      <c r="C77" s="290" t="str">
        <f ca="1">"São João do Paraíso - MG, "&amp;TEXT(TODAY(),"DD")&amp;" de "&amp;TEXT(TODAY(),"MMMM")&amp;" de "&amp;TEXT(TODAY(),"AAAA")</f>
        <v>São João do Paraíso - MG, 01 de outubro de 2025</v>
      </c>
      <c r="D77" s="290"/>
      <c r="E77" s="290"/>
      <c r="F77" s="85"/>
      <c r="G77" s="27"/>
    </row>
    <row r="78" spans="1:7" x14ac:dyDescent="0.3">
      <c r="A78" s="26"/>
      <c r="B78" s="85"/>
      <c r="C78" s="85"/>
      <c r="D78" s="85"/>
      <c r="E78" s="85"/>
      <c r="F78" s="85"/>
      <c r="G78" s="27"/>
    </row>
    <row r="79" spans="1:7" x14ac:dyDescent="0.3">
      <c r="A79" s="26"/>
      <c r="B79" s="85"/>
      <c r="C79" s="85"/>
      <c r="D79" s="85"/>
      <c r="E79" s="85"/>
      <c r="F79" s="85"/>
      <c r="G79" s="27"/>
    </row>
    <row r="80" spans="1:7" x14ac:dyDescent="0.3">
      <c r="A80" s="26"/>
      <c r="B80" s="85"/>
      <c r="C80" s="85"/>
      <c r="D80" s="85"/>
      <c r="E80" s="85"/>
      <c r="F80" s="85"/>
      <c r="G80" s="27"/>
    </row>
    <row r="81" spans="1:7" x14ac:dyDescent="0.3">
      <c r="A81" s="26"/>
      <c r="B81" s="85"/>
      <c r="C81" s="85"/>
      <c r="D81" s="85"/>
      <c r="E81" s="85"/>
      <c r="F81" s="85"/>
      <c r="G81" s="27"/>
    </row>
    <row r="82" spans="1:7" x14ac:dyDescent="0.3">
      <c r="A82" s="26"/>
      <c r="B82" s="85"/>
      <c r="C82" s="85"/>
      <c r="D82" s="23" t="s">
        <v>305</v>
      </c>
      <c r="E82" s="85"/>
      <c r="F82" s="85"/>
      <c r="G82" s="27"/>
    </row>
    <row r="83" spans="1:7" x14ac:dyDescent="0.3">
      <c r="A83" s="26"/>
      <c r="B83" s="85"/>
      <c r="C83" s="85"/>
      <c r="D83" s="99" t="s">
        <v>306</v>
      </c>
      <c r="E83" s="85"/>
      <c r="F83" s="85"/>
      <c r="G83" s="27"/>
    </row>
    <row r="84" spans="1:7" ht="15" thickBot="1" x14ac:dyDescent="0.35">
      <c r="A84" s="28"/>
      <c r="B84" s="29"/>
      <c r="C84" s="29"/>
      <c r="D84" s="29"/>
      <c r="E84" s="29"/>
      <c r="F84" s="29"/>
      <c r="G84" s="30"/>
    </row>
  </sheetData>
  <mergeCells count="23">
    <mergeCell ref="A71:A75"/>
    <mergeCell ref="C77:E77"/>
    <mergeCell ref="A38:A46"/>
    <mergeCell ref="A47:G47"/>
    <mergeCell ref="A49:A59"/>
    <mergeCell ref="A60:G60"/>
    <mergeCell ref="A62:A67"/>
    <mergeCell ref="A10:A11"/>
    <mergeCell ref="A1:C7"/>
    <mergeCell ref="A68:A69"/>
    <mergeCell ref="A13:A15"/>
    <mergeCell ref="A17:A22"/>
    <mergeCell ref="A25:A35"/>
    <mergeCell ref="A36:G36"/>
    <mergeCell ref="H6:I7"/>
    <mergeCell ref="D1:G1"/>
    <mergeCell ref="D2:G2"/>
    <mergeCell ref="D3:G3"/>
    <mergeCell ref="D4:G4"/>
    <mergeCell ref="E5:F5"/>
    <mergeCell ref="E6:F6"/>
    <mergeCell ref="E7:F7"/>
    <mergeCell ref="G6:G7"/>
  </mergeCells>
  <pageMargins left="0.511811024" right="0.511811024" top="0.78740157499999996" bottom="0.78740157499999996" header="0.31496062000000002" footer="0.31496062000000002"/>
  <pageSetup paperSize="9" scale="34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82"/>
  <sheetViews>
    <sheetView showGridLines="0" view="pageBreakPreview" topLeftCell="A4" zoomScale="120" zoomScaleNormal="120" zoomScaleSheetLayoutView="120" workbookViewId="0">
      <selection activeCell="K39" sqref="K39"/>
    </sheetView>
  </sheetViews>
  <sheetFormatPr defaultColWidth="3.6640625" defaultRowHeight="13.2" x14ac:dyDescent="0.25"/>
  <cols>
    <col min="1" max="1" width="3.6640625" style="103" customWidth="1"/>
    <col min="2" max="5" width="4.33203125" style="103" customWidth="1"/>
    <col min="6" max="6" width="9.6640625" style="103" customWidth="1"/>
    <col min="7" max="7" width="7.88671875" style="103" customWidth="1"/>
    <col min="8" max="8" width="8.88671875" style="103" customWidth="1"/>
    <col min="9" max="9" width="7.88671875" style="103" customWidth="1"/>
    <col min="10" max="10" width="8.5546875" style="103" customWidth="1"/>
    <col min="11" max="12" width="3.44140625" style="103" customWidth="1"/>
    <col min="13" max="13" width="2.88671875" style="103" customWidth="1"/>
    <col min="14" max="15" width="2.6640625" style="103" customWidth="1"/>
    <col min="16" max="16" width="2.88671875" style="103" customWidth="1"/>
    <col min="17" max="18" width="2.6640625" style="103" customWidth="1"/>
    <col min="19" max="19" width="3" style="103" customWidth="1"/>
    <col min="20" max="20" width="10" style="104" customWidth="1"/>
    <col min="21" max="26" width="3.6640625" style="103" customWidth="1"/>
    <col min="27" max="27" width="10.88671875" style="103" hidden="1" customWidth="1"/>
    <col min="28" max="28" width="7" style="103" hidden="1" customWidth="1"/>
    <col min="29" max="16384" width="3.6640625" style="103"/>
  </cols>
  <sheetData>
    <row r="1" spans="2:41" ht="17.399999999999999" x14ac:dyDescent="0.3">
      <c r="B1" s="422" t="s">
        <v>181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</row>
    <row r="2" spans="2:41" x14ac:dyDescent="0.25">
      <c r="T2" s="106"/>
      <c r="U2" s="108"/>
      <c r="V2" s="108"/>
      <c r="W2" s="108"/>
      <c r="X2" s="108"/>
      <c r="Y2" s="108"/>
    </row>
    <row r="3" spans="2:41" x14ac:dyDescent="0.25">
      <c r="B3" s="423" t="s">
        <v>180</v>
      </c>
      <c r="C3" s="424"/>
      <c r="D3" s="424"/>
      <c r="E3" s="424"/>
      <c r="F3" s="424"/>
      <c r="G3" s="425" t="s">
        <v>17</v>
      </c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6"/>
      <c r="T3" s="106" t="b">
        <f>IF(LEN(G3)&lt;6,FALSE,TRUE)</f>
        <v>1</v>
      </c>
      <c r="U3" s="108"/>
      <c r="V3" s="108"/>
      <c r="W3" s="108"/>
      <c r="X3" s="108"/>
      <c r="Y3" s="108"/>
    </row>
    <row r="4" spans="2:41" x14ac:dyDescent="0.25">
      <c r="B4" s="418" t="s">
        <v>179</v>
      </c>
      <c r="C4" s="419"/>
      <c r="D4" s="419"/>
      <c r="E4" s="419"/>
      <c r="F4" s="419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1"/>
      <c r="T4" s="106" t="b">
        <f>IF(LEN(G4)&lt;9,FALSE,TRUE)</f>
        <v>0</v>
      </c>
      <c r="U4" s="108"/>
      <c r="V4" s="108"/>
      <c r="W4" s="108"/>
      <c r="X4" s="108"/>
      <c r="Y4" s="108"/>
    </row>
    <row r="5" spans="2:41" x14ac:dyDescent="0.25">
      <c r="B5" s="418" t="s">
        <v>178</v>
      </c>
      <c r="C5" s="419"/>
      <c r="D5" s="419"/>
      <c r="E5" s="419"/>
      <c r="F5" s="419"/>
      <c r="G5" s="420" t="s">
        <v>177</v>
      </c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1"/>
      <c r="T5" s="106" t="b">
        <f>IF(LEN(G5)&lt;6,FALSE,TRUE)</f>
        <v>1</v>
      </c>
      <c r="U5" s="108"/>
      <c r="V5" s="108"/>
      <c r="W5" s="108"/>
      <c r="X5" s="108"/>
      <c r="Y5" s="108"/>
    </row>
    <row r="6" spans="2:41" x14ac:dyDescent="0.25">
      <c r="B6" s="418" t="s">
        <v>176</v>
      </c>
      <c r="C6" s="419"/>
      <c r="D6" s="419"/>
      <c r="E6" s="419"/>
      <c r="F6" s="419"/>
      <c r="G6" s="420" t="s">
        <v>175</v>
      </c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1"/>
      <c r="T6" s="106" t="b">
        <f>IF(LEN(G6)&lt;4,FALSE,TRUE)</f>
        <v>1</v>
      </c>
      <c r="U6" s="108"/>
      <c r="V6" s="108"/>
      <c r="W6" s="108"/>
      <c r="X6" s="108"/>
      <c r="Y6" s="108"/>
    </row>
    <row r="7" spans="2:41" ht="18.899999999999999" customHeight="1" x14ac:dyDescent="0.25">
      <c r="B7" s="418" t="s">
        <v>174</v>
      </c>
      <c r="C7" s="419"/>
      <c r="D7" s="419"/>
      <c r="E7" s="419"/>
      <c r="F7" s="419"/>
      <c r="G7" s="126"/>
      <c r="H7" s="125"/>
      <c r="I7" s="125"/>
      <c r="J7" s="124"/>
      <c r="K7" s="124"/>
      <c r="L7" s="124"/>
      <c r="M7" s="124"/>
      <c r="N7" s="124"/>
      <c r="O7" s="124"/>
      <c r="P7" s="124"/>
      <c r="Q7" s="124"/>
      <c r="R7" s="124"/>
      <c r="S7" s="123"/>
      <c r="T7" s="106"/>
      <c r="U7" s="108"/>
      <c r="V7" s="108"/>
      <c r="W7" s="108"/>
      <c r="X7" s="108"/>
      <c r="Y7" s="108"/>
    </row>
    <row r="8" spans="2:41" ht="18.899999999999999" customHeight="1" x14ac:dyDescent="0.25">
      <c r="B8" s="413" t="s">
        <v>173</v>
      </c>
      <c r="C8" s="414"/>
      <c r="D8" s="414"/>
      <c r="E8" s="414"/>
      <c r="F8" s="414"/>
      <c r="G8" s="122"/>
      <c r="H8" s="121"/>
      <c r="I8" s="121"/>
      <c r="J8" s="120"/>
      <c r="K8" s="120"/>
      <c r="L8" s="120"/>
      <c r="M8" s="120"/>
      <c r="N8" s="120"/>
      <c r="O8" s="120"/>
      <c r="P8" s="120"/>
      <c r="Q8" s="120"/>
      <c r="R8" s="120"/>
      <c r="S8" s="119"/>
      <c r="T8" s="106"/>
      <c r="U8" s="108"/>
      <c r="V8" s="108"/>
      <c r="W8" s="108"/>
      <c r="X8" s="108"/>
      <c r="Y8" s="108"/>
    </row>
    <row r="9" spans="2:41" ht="18.899999999999999" customHeight="1" x14ac:dyDescent="0.25">
      <c r="B9" s="415" t="s">
        <v>172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6">
        <v>0.5</v>
      </c>
      <c r="S9" s="416"/>
      <c r="T9" s="106"/>
      <c r="U9" s="108"/>
      <c r="V9" s="108"/>
      <c r="W9" s="108"/>
      <c r="X9" s="108"/>
      <c r="Y9" s="108"/>
    </row>
    <row r="10" spans="2:41" ht="18.899999999999999" customHeight="1" x14ac:dyDescent="0.25">
      <c r="B10" s="415" t="s">
        <v>171</v>
      </c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7">
        <v>4.2000000000000003E-2</v>
      </c>
      <c r="S10" s="417"/>
      <c r="T10" s="106"/>
      <c r="U10" s="108"/>
      <c r="V10" s="108"/>
      <c r="W10" s="108"/>
      <c r="X10" s="108"/>
      <c r="Y10" s="108"/>
    </row>
    <row r="11" spans="2:41" ht="24.9" customHeight="1" thickBot="1" x14ac:dyDescent="0.3">
      <c r="B11" s="399" t="str">
        <f>IF(OR(T3=FALSE,T4=FALSE,T5=FALSE,T6=FALSE),("Atenção - Não esqueça de preencher o(s) campo(s): -" &amp; IF(T3=FALSE," TOMADOR -","") &amp; IF(T4=FALSE," Nº DO CONTRATO -","") &amp; IF(T5=FALSE," NOME DA OBRA -","") &amp; IF(T6=FALSE," MUNICÍPIO ONDE SE LOCALIZA A OBRA -","")  &amp; ""),".")</f>
        <v>Atenção - Não esqueça de preencher o(s) campo(s): - Nº DO CONTRATO -</v>
      </c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</row>
    <row r="12" spans="2:41" ht="35.25" customHeight="1" x14ac:dyDescent="0.25">
      <c r="B12" s="400" t="s">
        <v>170</v>
      </c>
      <c r="C12" s="401"/>
      <c r="D12" s="401"/>
      <c r="E12" s="401"/>
      <c r="F12" s="401"/>
      <c r="G12" s="404" t="s">
        <v>169</v>
      </c>
      <c r="H12" s="405"/>
      <c r="I12" s="406"/>
      <c r="J12" s="106"/>
      <c r="K12" s="365" t="s">
        <v>168</v>
      </c>
      <c r="L12" s="366"/>
      <c r="M12" s="366"/>
      <c r="N12" s="366"/>
      <c r="O12" s="366"/>
      <c r="P12" s="366"/>
      <c r="Q12" s="366"/>
      <c r="R12" s="366"/>
      <c r="S12" s="367"/>
      <c r="T12" s="118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</row>
    <row r="13" spans="2:41" ht="21.75" customHeight="1" x14ac:dyDescent="0.25">
      <c r="B13" s="402"/>
      <c r="C13" s="403"/>
      <c r="D13" s="403"/>
      <c r="E13" s="403"/>
      <c r="F13" s="403"/>
      <c r="G13" s="407"/>
      <c r="H13" s="408"/>
      <c r="I13" s="409"/>
      <c r="J13" s="106"/>
      <c r="K13" s="410" t="s">
        <v>167</v>
      </c>
      <c r="L13" s="411"/>
      <c r="M13" s="411"/>
      <c r="N13" s="411" t="s">
        <v>166</v>
      </c>
      <c r="O13" s="411"/>
      <c r="P13" s="411"/>
      <c r="Q13" s="411" t="s">
        <v>165</v>
      </c>
      <c r="R13" s="411"/>
      <c r="S13" s="412"/>
      <c r="W13" s="108"/>
      <c r="X13" s="108"/>
      <c r="Y13" s="108"/>
      <c r="Z13" s="108"/>
    </row>
    <row r="14" spans="2:41" ht="16.5" customHeight="1" x14ac:dyDescent="0.25">
      <c r="B14" s="394" t="s">
        <v>164</v>
      </c>
      <c r="C14" s="395"/>
      <c r="D14" s="395"/>
      <c r="E14" s="395"/>
      <c r="F14" s="395"/>
      <c r="G14" s="396">
        <v>4.67</v>
      </c>
      <c r="H14" s="397"/>
      <c r="I14" s="398"/>
      <c r="J14" s="107"/>
      <c r="K14" s="389">
        <f>CHOOSE([2]Plan4!$B$17,[2]Plan4!C6,[2]Plan4!D6,[2]Plan4!E6,[2]Plan4!F6,[2]Plan4!G6,[2]Plan4!H6)</f>
        <v>3.8</v>
      </c>
      <c r="L14" s="390"/>
      <c r="M14" s="390"/>
      <c r="N14" s="390">
        <f>CHOOSE([2]Plan4!$B$17,[2]Plan4!I6,[2]Plan4!J6,[2]Plan4!K6,[2]Plan4!L6,[2]Plan4!M6,[2]Plan4!N6)</f>
        <v>4.01</v>
      </c>
      <c r="O14" s="390"/>
      <c r="P14" s="390"/>
      <c r="Q14" s="390">
        <f>CHOOSE([2]Plan4!$B$17,[2]Plan4!O6,[2]Plan4!P6,[2]Plan4!Q6,[2]Plan4!R6,[2]Plan4!S6,[2]Plan4!T6)</f>
        <v>4.67</v>
      </c>
      <c r="R14" s="390"/>
      <c r="S14" s="391"/>
      <c r="T14" s="115" t="str">
        <f t="shared" ref="T14:T20" si="0">IF(G14&lt;K14," Atenção",IF(G14&gt;Q14,"Atenção","OK"))</f>
        <v>OK</v>
      </c>
      <c r="U14" s="114"/>
      <c r="W14" s="108"/>
      <c r="X14" s="108"/>
      <c r="Y14" s="108"/>
      <c r="Z14" s="108"/>
    </row>
    <row r="15" spans="2:41" ht="16.5" customHeight="1" x14ac:dyDescent="0.25">
      <c r="B15" s="392" t="s">
        <v>163</v>
      </c>
      <c r="C15" s="393"/>
      <c r="D15" s="393"/>
      <c r="E15" s="393"/>
      <c r="F15" s="393"/>
      <c r="G15" s="386">
        <v>0.74</v>
      </c>
      <c r="H15" s="387"/>
      <c r="I15" s="388"/>
      <c r="J15" s="107"/>
      <c r="K15" s="389">
        <f>CHOOSE([2]Plan4!$B$17,[2]Plan4!C7,[2]Plan4!D7,[2]Plan4!E7,[2]Plan4!F7,[2]Plan4!G7,[2]Plan4!H7)</f>
        <v>0.32</v>
      </c>
      <c r="L15" s="390"/>
      <c r="M15" s="390"/>
      <c r="N15" s="390">
        <f>CHOOSE([2]Plan4!$B$17,[2]Plan4!I7,[2]Plan4!J7,[2]Plan4!K7,[2]Plan4!L7,[2]Plan4!M7,[2]Plan4!N7)</f>
        <v>0.4</v>
      </c>
      <c r="O15" s="390"/>
      <c r="P15" s="390"/>
      <c r="Q15" s="390">
        <f>CHOOSE([2]Plan4!$B$17,[2]Plan4!O7,[2]Plan4!P7,[2]Plan4!Q7,[2]Plan4!R7,[2]Plan4!S7,[2]Plan4!T7)</f>
        <v>0.74</v>
      </c>
      <c r="R15" s="390"/>
      <c r="S15" s="391"/>
      <c r="T15" s="115" t="str">
        <f t="shared" si="0"/>
        <v>OK</v>
      </c>
      <c r="W15" s="108"/>
      <c r="X15" s="108"/>
      <c r="Y15" s="108"/>
      <c r="Z15" s="108"/>
    </row>
    <row r="16" spans="2:41" ht="16.5" customHeight="1" x14ac:dyDescent="0.25">
      <c r="B16" s="392" t="s">
        <v>162</v>
      </c>
      <c r="C16" s="393"/>
      <c r="D16" s="393"/>
      <c r="E16" s="393"/>
      <c r="F16" s="393"/>
      <c r="G16" s="386">
        <v>0.97</v>
      </c>
      <c r="H16" s="387"/>
      <c r="I16" s="388"/>
      <c r="J16" s="107"/>
      <c r="K16" s="389">
        <f>CHOOSE([2]Plan4!$B$17,[2]Plan4!C8,[2]Plan4!D8,[2]Plan4!E8,[2]Plan4!F8,[2]Plan4!G8,[2]Plan4!H8)</f>
        <v>0.5</v>
      </c>
      <c r="L16" s="390"/>
      <c r="M16" s="390"/>
      <c r="N16" s="390">
        <f>CHOOSE([2]Plan4!$B$17,[2]Plan4!I8,[2]Plan4!J8,[2]Plan4!K8,[2]Plan4!L8,[2]Plan4!M8,[2]Plan4!N8)</f>
        <v>0.56000000000000005</v>
      </c>
      <c r="O16" s="390"/>
      <c r="P16" s="390"/>
      <c r="Q16" s="390">
        <f>CHOOSE([2]Plan4!$B$17,[2]Plan4!O8,[2]Plan4!P8,[2]Plan4!Q8,[2]Plan4!R8,[2]Plan4!S8,[2]Plan4!T8)</f>
        <v>0.97</v>
      </c>
      <c r="R16" s="390"/>
      <c r="S16" s="391"/>
      <c r="T16" s="115" t="str">
        <f t="shared" si="0"/>
        <v>OK</v>
      </c>
      <c r="W16" s="108"/>
      <c r="X16" s="108"/>
      <c r="Y16" s="108"/>
      <c r="Z16" s="108"/>
    </row>
    <row r="17" spans="1:26" ht="16.5" customHeight="1" x14ac:dyDescent="0.25">
      <c r="B17" s="392" t="s">
        <v>161</v>
      </c>
      <c r="C17" s="393"/>
      <c r="D17" s="393"/>
      <c r="E17" s="393"/>
      <c r="F17" s="393"/>
      <c r="G17" s="386">
        <v>0.84</v>
      </c>
      <c r="H17" s="387"/>
      <c r="I17" s="388"/>
      <c r="J17" s="107"/>
      <c r="K17" s="389">
        <f>CHOOSE([2]Plan4!$B$17,[2]Plan4!C9,[2]Plan4!D9,[2]Plan4!E9,[2]Plan4!F9,[2]Plan4!G9,[2]Plan4!H9)</f>
        <v>1.02</v>
      </c>
      <c r="L17" s="390"/>
      <c r="M17" s="390"/>
      <c r="N17" s="390">
        <f>CHOOSE([2]Plan4!$B$17,[2]Plan4!I9,[2]Plan4!J9,[2]Plan4!K9,[2]Plan4!L9,[2]Plan4!M9,[2]Plan4!N9)</f>
        <v>1.1100000000000001</v>
      </c>
      <c r="O17" s="390"/>
      <c r="P17" s="390"/>
      <c r="Q17" s="390">
        <f>CHOOSE([2]Plan4!$B$17,[2]Plan4!O9,[2]Plan4!P9,[2]Plan4!Q9,[2]Plan4!R9,[2]Plan4!S9,[2]Plan4!T9)</f>
        <v>1.21</v>
      </c>
      <c r="R17" s="390"/>
      <c r="S17" s="391"/>
      <c r="T17" s="115" t="str">
        <f t="shared" si="0"/>
        <v xml:space="preserve"> Atenção</v>
      </c>
      <c r="W17" s="108"/>
      <c r="X17" s="108"/>
      <c r="Y17" s="108"/>
      <c r="Z17" s="108"/>
    </row>
    <row r="18" spans="1:26" ht="16.5" customHeight="1" x14ac:dyDescent="0.25">
      <c r="B18" s="392" t="s">
        <v>160</v>
      </c>
      <c r="C18" s="393"/>
      <c r="D18" s="393"/>
      <c r="E18" s="393"/>
      <c r="F18" s="393"/>
      <c r="G18" s="386">
        <v>7.53</v>
      </c>
      <c r="H18" s="387"/>
      <c r="I18" s="388"/>
      <c r="J18" s="107"/>
      <c r="K18" s="389">
        <f>CHOOSE([2]Plan4!$B$17,[2]Plan4!C10,[2]Plan4!D10,[2]Plan4!E10,[2]Plan4!F10,[2]Plan4!G10,[2]Plan4!H10)</f>
        <v>6.64</v>
      </c>
      <c r="L18" s="390"/>
      <c r="M18" s="390"/>
      <c r="N18" s="390">
        <f>CHOOSE([2]Plan4!$B$17,[2]Plan4!I10,[2]Plan4!J10,[2]Plan4!K10,[2]Plan4!L10,[2]Plan4!M10,[2]Plan4!N10)</f>
        <v>7.3</v>
      </c>
      <c r="O18" s="390"/>
      <c r="P18" s="390"/>
      <c r="Q18" s="390">
        <f>CHOOSE([2]Plan4!$B$17,[2]Plan4!O10,[2]Plan4!P10,[2]Plan4!Q10,[2]Plan4!R10,[2]Plan4!S10,[2]Plan4!T10)</f>
        <v>8.69</v>
      </c>
      <c r="R18" s="390"/>
      <c r="S18" s="391"/>
      <c r="T18" s="115" t="str">
        <f t="shared" si="0"/>
        <v>OK</v>
      </c>
      <c r="W18" s="108"/>
      <c r="X18" s="108"/>
      <c r="Y18" s="108"/>
      <c r="Z18" s="108"/>
    </row>
    <row r="19" spans="1:26" ht="16.5" customHeight="1" x14ac:dyDescent="0.25">
      <c r="B19" s="381" t="s">
        <v>159</v>
      </c>
      <c r="C19" s="382"/>
      <c r="D19" s="382"/>
      <c r="E19" s="382"/>
      <c r="F19" s="382"/>
      <c r="G19" s="386">
        <v>0.65</v>
      </c>
      <c r="H19" s="387"/>
      <c r="I19" s="388"/>
      <c r="J19" s="107"/>
      <c r="K19" s="389">
        <f>CHOOSE([2]Plan4!$B$17,[2]Plan4!C11,[2]Plan4!D11,[2]Plan4!E11,[2]Plan4!F11,[2]Plan4!G11,[2]Plan4!H11)</f>
        <v>0.65</v>
      </c>
      <c r="L19" s="390"/>
      <c r="M19" s="390"/>
      <c r="N19" s="390">
        <f>CHOOSE([2]Plan4!$B$17,[2]Plan4!I11,[2]Plan4!J11,[2]Plan4!K11,[2]Plan4!L11,[2]Plan4!M11,[2]Plan4!N11)</f>
        <v>0.65</v>
      </c>
      <c r="O19" s="390"/>
      <c r="P19" s="390"/>
      <c r="Q19" s="390">
        <f>CHOOSE([2]Plan4!$B$17,[2]Plan4!O11,[2]Plan4!P11,[2]Plan4!Q11,[2]Plan4!R11,[2]Plan4!S11,[2]Plan4!T11)</f>
        <v>0.65</v>
      </c>
      <c r="R19" s="390"/>
      <c r="S19" s="391"/>
      <c r="T19" s="115" t="str">
        <f t="shared" si="0"/>
        <v>OK</v>
      </c>
      <c r="U19" s="116"/>
      <c r="V19" s="116"/>
      <c r="W19" s="108"/>
      <c r="X19" s="108"/>
      <c r="Y19" s="108"/>
      <c r="Z19" s="108"/>
    </row>
    <row r="20" spans="1:26" ht="16.5" customHeight="1" x14ac:dyDescent="0.25">
      <c r="B20" s="381" t="s">
        <v>158</v>
      </c>
      <c r="C20" s="382"/>
      <c r="D20" s="382"/>
      <c r="E20" s="382"/>
      <c r="F20" s="382"/>
      <c r="G20" s="386">
        <v>3</v>
      </c>
      <c r="H20" s="387"/>
      <c r="I20" s="388"/>
      <c r="J20" s="107"/>
      <c r="K20" s="389">
        <f>CHOOSE([2]Plan4!$B$17,[2]Plan4!C12,[2]Plan4!D12,[2]Plan4!E12,[2]Plan4!F12,[2]Plan4!G12,[2]Plan4!H12)</f>
        <v>3</v>
      </c>
      <c r="L20" s="390"/>
      <c r="M20" s="390"/>
      <c r="N20" s="390">
        <f>CHOOSE([2]Plan4!$B$17,[2]Plan4!I12,[2]Plan4!J12,[2]Plan4!K12,[2]Plan4!L12,[2]Plan4!M12,[2]Plan4!N12)</f>
        <v>3</v>
      </c>
      <c r="O20" s="390"/>
      <c r="P20" s="390"/>
      <c r="Q20" s="390">
        <f>CHOOSE([2]Plan4!$B$17,[2]Plan4!O12,[2]Plan4!P12,[2]Plan4!Q12,[2]Plan4!R12,[2]Plan4!S12,[2]Plan4!T12)</f>
        <v>3</v>
      </c>
      <c r="R20" s="390"/>
      <c r="S20" s="391"/>
      <c r="T20" s="115" t="str">
        <f t="shared" si="0"/>
        <v>OK</v>
      </c>
      <c r="U20" s="114"/>
      <c r="W20" s="108"/>
      <c r="X20" s="108"/>
      <c r="Y20" s="108"/>
      <c r="Z20" s="108"/>
    </row>
    <row r="21" spans="1:26" ht="16.5" customHeight="1" x14ac:dyDescent="0.25">
      <c r="B21" s="381" t="s">
        <v>157</v>
      </c>
      <c r="C21" s="382"/>
      <c r="D21" s="382"/>
      <c r="E21" s="382"/>
      <c r="F21" s="382"/>
      <c r="G21" s="383">
        <f>R9*R10*100</f>
        <v>2.1</v>
      </c>
      <c r="H21" s="384"/>
      <c r="I21" s="385"/>
      <c r="J21" s="107"/>
      <c r="K21" s="372">
        <f>CHOOSE([2]Plan4!$B$17,[2]Plan4!C13,[2]Plan4!D13,[2]Plan4!E13,[2]Plan4!F13,[2]Plan4!G13,[2]Plan4!H13)</f>
        <v>2</v>
      </c>
      <c r="L21" s="373"/>
      <c r="M21" s="373"/>
      <c r="N21" s="373">
        <f>CHOOSE([2]Plan4!$B$17,[2]Plan4!I13,[2]Plan4!J13,[2]Plan4!K13,[2]Plan4!L13,[2]Plan4!M13,[2]Plan4!N13)</f>
        <v>2</v>
      </c>
      <c r="O21" s="373"/>
      <c r="P21" s="373"/>
      <c r="Q21" s="373">
        <f>CHOOSE([2]Plan4!$B$17,[2]Plan4!O13,[2]Plan4!P13,[2]Plan4!Q13,[2]Plan4!R13,[2]Plan4!S13,[2]Plan4!T13)</f>
        <v>5</v>
      </c>
      <c r="R21" s="373"/>
      <c r="S21" s="374"/>
      <c r="T21" s="107"/>
      <c r="U21" s="114"/>
      <c r="W21" s="108"/>
      <c r="X21" s="108"/>
      <c r="Y21" s="108"/>
      <c r="Z21" s="108"/>
    </row>
    <row r="22" spans="1:26" ht="16.5" customHeight="1" thickBot="1" x14ac:dyDescent="0.3">
      <c r="B22" s="375" t="s">
        <v>156</v>
      </c>
      <c r="C22" s="376"/>
      <c r="D22" s="376"/>
      <c r="E22" s="376"/>
      <c r="F22" s="376"/>
      <c r="G22" s="377">
        <f>IF([2]Plan4!B26=1,4.5,0)</f>
        <v>0</v>
      </c>
      <c r="H22" s="378"/>
      <c r="I22" s="379"/>
      <c r="J22" s="106"/>
      <c r="K22" s="380"/>
      <c r="L22" s="380"/>
      <c r="M22" s="380"/>
      <c r="N22" s="380"/>
      <c r="O22" s="380"/>
      <c r="P22" s="380"/>
      <c r="Q22" s="380"/>
      <c r="R22" s="380"/>
      <c r="S22" s="380"/>
      <c r="W22" s="108"/>
      <c r="X22" s="108"/>
      <c r="Y22" s="108"/>
      <c r="Z22" s="108"/>
    </row>
    <row r="23" spans="1:26" s="108" customFormat="1" ht="26.25" customHeight="1" thickBot="1" x14ac:dyDescent="0.3">
      <c r="B23" s="356" t="s">
        <v>155</v>
      </c>
      <c r="C23" s="357"/>
      <c r="D23" s="357"/>
      <c r="E23" s="357"/>
      <c r="F23" s="358"/>
      <c r="G23" s="359">
        <f>TRUNC((((((1+G14/100+G15/100+G16/100)*(1+G17/100)*(1+G18/100))/(1-(G19/100+G20/100+G21/100+G22/100)))-1)*100),2)</f>
        <v>22.38</v>
      </c>
      <c r="H23" s="360"/>
      <c r="I23" s="361"/>
      <c r="J23" s="106"/>
      <c r="K23" s="113"/>
      <c r="L23" s="112"/>
      <c r="M23" s="112"/>
      <c r="N23" s="112"/>
      <c r="O23" s="112"/>
      <c r="P23" s="112"/>
      <c r="Q23" s="112"/>
      <c r="R23" s="112"/>
      <c r="S23" s="111"/>
      <c r="T23" s="106"/>
    </row>
    <row r="24" spans="1:26" s="108" customFormat="1" ht="15" customHeight="1" x14ac:dyDescent="0.2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6"/>
    </row>
    <row r="25" spans="1:26" s="108" customFormat="1" ht="30.75" customHeight="1" x14ac:dyDescent="0.25">
      <c r="B25" s="362" t="s">
        <v>154</v>
      </c>
      <c r="C25" s="363"/>
      <c r="D25" s="363"/>
      <c r="E25" s="363"/>
      <c r="F25" s="363"/>
      <c r="G25" s="363"/>
      <c r="H25" s="363"/>
      <c r="I25" s="364"/>
      <c r="J25" s="110"/>
      <c r="K25" s="365" t="s">
        <v>153</v>
      </c>
      <c r="L25" s="366"/>
      <c r="M25" s="366"/>
      <c r="N25" s="366"/>
      <c r="O25" s="366"/>
      <c r="P25" s="366"/>
      <c r="Q25" s="366"/>
      <c r="R25" s="366"/>
      <c r="S25" s="367"/>
      <c r="T25" s="106"/>
    </row>
    <row r="26" spans="1:26" s="108" customFormat="1" ht="22.5" customHeight="1" x14ac:dyDescent="0.25">
      <c r="B26" s="368" t="s">
        <v>152</v>
      </c>
      <c r="C26" s="369"/>
      <c r="D26" s="369"/>
      <c r="E26" s="369"/>
      <c r="F26" s="369"/>
      <c r="G26" s="370">
        <f>TRUNC(((((1+G14/100+G15/100+G16/100)*(1+G17/100)*(1+G18/100))/(1-(G19/100+G20/100+G21/100)))-1)*100,2)</f>
        <v>22.38</v>
      </c>
      <c r="H26" s="370"/>
      <c r="I26" s="371"/>
      <c r="J26" s="109" t="str">
        <f>IF(G26&lt;K26," Atenção",IF(G26&gt;Q26,"Atenção","OK"))</f>
        <v>OK</v>
      </c>
      <c r="K26" s="372">
        <f>CHOOSE([2]Plan4!$B$17,[2]Plan4!O19,[2]Plan4!O20,[2]Plan4!O21,[2]Plan4!O22,[2]Plan4!O23,[2]Plan4!O24)</f>
        <v>19.600000000000001</v>
      </c>
      <c r="L26" s="373"/>
      <c r="M26" s="373"/>
      <c r="N26" s="373">
        <f>CHOOSE([2]Plan4!$B$17,[2]Plan4!Q19,[2]Plan4!Q20,[2]Plan4!Q21,[2]Plan4!Q22,[2]Plan4!Q23,[2]Plan4!Q24)</f>
        <v>20.97</v>
      </c>
      <c r="O26" s="373"/>
      <c r="P26" s="373"/>
      <c r="Q26" s="373">
        <f>CHOOSE([2]Plan4!$B$17,[2]Plan4!S19,[2]Plan4!S20,[2]Plan4!S21,[2]Plan4!S22,[2]Plan4!S23,[2]Plan4!S24)</f>
        <v>24.23</v>
      </c>
      <c r="R26" s="373"/>
      <c r="S26" s="374"/>
      <c r="T26" s="106"/>
    </row>
    <row r="27" spans="1:26" s="108" customFormat="1" ht="17.25" customHeight="1" x14ac:dyDescent="0.25">
      <c r="B27" s="342" t="str">
        <f>IF(J26&lt;&gt;"OK", "O valor de BDI sem a desoneração está fora da faixa admitida no Acórdão TCU Plenária 2622/2013.",".")</f>
        <v>.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106"/>
    </row>
    <row r="28" spans="1:26" s="108" customFormat="1" ht="15.6" x14ac:dyDescent="0.3">
      <c r="B28" s="343" t="s">
        <v>151</v>
      </c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  <c r="Q28" s="343"/>
      <c r="R28" s="343"/>
      <c r="S28" s="343"/>
      <c r="T28" s="106"/>
    </row>
    <row r="29" spans="1:26" s="108" customFormat="1" ht="129" customHeight="1" x14ac:dyDescent="0.25">
      <c r="B29" s="344" t="str">
        <f>"DECLARO que, de acordo com a legislação tributária do município de "&amp;G6&amp;", considerando a natureza da obra acima discriminada, para cálculo do valor de ISS a ser cobrado da empresa construtora, é aplicada a aliquota de "&amp;IF(G21="",0,G21)&amp;"% sobre o valor total da obra."&amp;"
"&amp;"
"&amp;"DECLARO que o percentual de encargos sociais utilizados no valor da mão-de-obra do orçamento são os encargos sociais praticados pelo SINAPI e/ou SICRO."&amp;"
"&amp;"
"&amp;"DECLARO que o orçamento da obra foi verificado com os custos nas duas possibilidades de CONTRIBUIÇÃO PREVIDENCIÁRIA e foi adotada a modalidade "&amp;IF([2]Plan4!B26=1,"COM DESONERAÇÃO"&amp;" por ser a mais adequada ao Tomador "&amp;G3&amp;".",IF([2]Plan4!B26=2,"SEM DESONERAÇÃO","")&amp;" por ser a mais adequada ao Tomador "&amp;G3&amp;".")</f>
        <v>DECLARO que, de acordo com a legislação tributária do município de SÃO JOÃO DO PARAÍSO MG, considerando a natureza da obra acima discriminada, para cálculo do valor de ISS a ser cobrado da empresa construtora, é aplicada a aliquota de 2,1% sobre o valor total da obra.
DECLARO que o percentual de encargos sociais utilizados no valor da mão-de-obra do orçamento são os encargos sociais praticados pelo SINAPI e/ou SICRO.
DECLARO que o orçamento da obra foi verificado com os custos nas duas possibilidades de CONTRIBUIÇÃO PREVIDENCIÁRIA e foi adotada a modalidade SEM DESONERAÇÃO por ser a mais adequada ao Tomador PREFEITURA MUNICIPAL DE SÃO JOÃO DO PARAÍSO MG.</v>
      </c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106"/>
    </row>
    <row r="30" spans="1:26" ht="22.5" customHeight="1" x14ac:dyDescent="0.25">
      <c r="B30" s="345" t="str">
        <f>IF(OR(T34=FALSE,T35=FALSE,T37=FALSE,J41=FALSE),("Atenção - Não esqueça de preencher o(s) campo(s): -" &amp; IF(T34=FALSE," Nº DA ART/RRT -","") &amp; IF(T35=FALSE," DATA -","") &amp; IF(T37=FALSE," IDENTIFICAÇÃO DO RESPONSÁVEL TÉCNICO -","") &amp; IF(J41=FALSE," IDENTIFICAÇÃO DO TOMADOR -","") &amp; ""),".")</f>
        <v>.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</row>
    <row r="31" spans="1:26" ht="12.75" customHeight="1" x14ac:dyDescent="0.25">
      <c r="A31" s="105"/>
      <c r="B31" s="105" t="s">
        <v>150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</row>
    <row r="32" spans="1:26" ht="38.25" customHeight="1" x14ac:dyDescent="0.25">
      <c r="A32" s="105"/>
      <c r="B32" s="346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8"/>
      <c r="T32" s="105"/>
    </row>
    <row r="33" spans="1:20" ht="17.100000000000001" customHeight="1" x14ac:dyDescent="0.25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</row>
    <row r="34" spans="1:20" s="105" customFormat="1" ht="20.100000000000001" customHeight="1" x14ac:dyDescent="0.25">
      <c r="B34" s="330"/>
      <c r="C34" s="331"/>
      <c r="D34" s="331"/>
      <c r="E34" s="331"/>
      <c r="F34" s="331"/>
      <c r="G34" s="331"/>
      <c r="H34" s="331"/>
      <c r="I34" s="331"/>
      <c r="J34" s="349" t="s">
        <v>182</v>
      </c>
      <c r="K34" s="349"/>
      <c r="L34" s="349"/>
      <c r="M34" s="349"/>
      <c r="N34" s="349"/>
      <c r="O34" s="349"/>
      <c r="P34" s="349"/>
      <c r="Q34" s="349"/>
      <c r="R34" s="349"/>
      <c r="S34" s="350"/>
      <c r="T34" s="106" t="b">
        <f>IF(LEN(J34)&lt;4,FALSE,TRUE)</f>
        <v>1</v>
      </c>
    </row>
    <row r="35" spans="1:20" s="105" customFormat="1" ht="14.25" customHeight="1" x14ac:dyDescent="0.25">
      <c r="B35" s="333" t="s">
        <v>149</v>
      </c>
      <c r="C35" s="334"/>
      <c r="D35" s="334"/>
      <c r="E35" s="334"/>
      <c r="F35" s="334"/>
      <c r="G35" s="334"/>
      <c r="H35" s="334"/>
      <c r="I35" s="334"/>
      <c r="J35" s="351" t="s">
        <v>148</v>
      </c>
      <c r="K35" s="352"/>
      <c r="L35" s="352"/>
      <c r="M35" s="352"/>
      <c r="N35" s="352"/>
      <c r="O35" s="352"/>
      <c r="P35" s="352"/>
      <c r="Q35" s="352"/>
      <c r="R35" s="352"/>
      <c r="S35" s="353"/>
      <c r="T35" s="106" t="b">
        <f>IF(LEN(J36)&lt;4,FALSE,TRUE)</f>
        <v>1</v>
      </c>
    </row>
    <row r="36" spans="1:20" s="105" customFormat="1" ht="12.75" customHeight="1" x14ac:dyDescent="0.25">
      <c r="B36" s="336" t="s">
        <v>307</v>
      </c>
      <c r="C36" s="337"/>
      <c r="D36" s="337"/>
      <c r="E36" s="337"/>
      <c r="F36" s="337"/>
      <c r="G36" s="337"/>
      <c r="H36" s="337"/>
      <c r="I36" s="337"/>
      <c r="J36" s="354">
        <v>45447</v>
      </c>
      <c r="K36" s="354"/>
      <c r="L36" s="354"/>
      <c r="M36" s="354"/>
      <c r="N36" s="354"/>
      <c r="O36" s="354"/>
      <c r="P36" s="354"/>
      <c r="Q36" s="354"/>
      <c r="R36" s="354"/>
      <c r="S36" s="355"/>
      <c r="T36" s="106"/>
    </row>
    <row r="37" spans="1:20" s="105" customFormat="1" ht="12.75" customHeight="1" x14ac:dyDescent="0.25">
      <c r="B37" s="339" t="s">
        <v>147</v>
      </c>
      <c r="C37" s="340"/>
      <c r="D37" s="340"/>
      <c r="E37" s="340"/>
      <c r="F37" s="340"/>
      <c r="G37" s="340"/>
      <c r="H37" s="340"/>
      <c r="I37" s="340"/>
      <c r="J37" s="340" t="s">
        <v>146</v>
      </c>
      <c r="K37" s="340"/>
      <c r="L37" s="340"/>
      <c r="M37" s="340"/>
      <c r="N37" s="340"/>
      <c r="O37" s="340"/>
      <c r="P37" s="340"/>
      <c r="Q37" s="340"/>
      <c r="R37" s="340"/>
      <c r="S37" s="341"/>
      <c r="T37" s="106" t="b">
        <f>IF(LEN(B36)&lt;4,FALSE,TRUE)</f>
        <v>1</v>
      </c>
    </row>
    <row r="38" spans="1:20" ht="17.100000000000001" customHeight="1" x14ac:dyDescent="0.25"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</row>
    <row r="39" spans="1:20" s="105" customFormat="1" ht="20.100000000000001" customHeight="1" x14ac:dyDescent="0.25">
      <c r="B39" s="330"/>
      <c r="C39" s="331"/>
      <c r="D39" s="331"/>
      <c r="E39" s="331"/>
      <c r="F39" s="331"/>
      <c r="G39" s="331"/>
      <c r="H39" s="331"/>
      <c r="I39" s="332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6"/>
    </row>
    <row r="40" spans="1:20" s="105" customFormat="1" x14ac:dyDescent="0.25">
      <c r="B40" s="333" t="s">
        <v>145</v>
      </c>
      <c r="C40" s="334"/>
      <c r="D40" s="334"/>
      <c r="E40" s="334"/>
      <c r="F40" s="334"/>
      <c r="G40" s="334"/>
      <c r="H40" s="334"/>
      <c r="I40" s="335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6"/>
    </row>
    <row r="41" spans="1:20" s="105" customFormat="1" x14ac:dyDescent="0.25">
      <c r="B41" s="336" t="s">
        <v>144</v>
      </c>
      <c r="C41" s="337"/>
      <c r="D41" s="337"/>
      <c r="E41" s="337"/>
      <c r="F41" s="337"/>
      <c r="G41" s="337"/>
      <c r="H41" s="337"/>
      <c r="I41" s="338"/>
      <c r="J41" s="106" t="b">
        <f>IF(LEN(B41)&lt;4,FALSE,TRUE)</f>
        <v>1</v>
      </c>
      <c r="T41" s="106"/>
    </row>
    <row r="42" spans="1:20" s="105" customFormat="1" x14ac:dyDescent="0.25">
      <c r="B42" s="339" t="s">
        <v>143</v>
      </c>
      <c r="C42" s="340"/>
      <c r="D42" s="340"/>
      <c r="E42" s="340"/>
      <c r="F42" s="340"/>
      <c r="G42" s="340"/>
      <c r="H42" s="340"/>
      <c r="I42" s="341"/>
      <c r="K42" s="107"/>
      <c r="L42" s="107"/>
      <c r="M42" s="107"/>
      <c r="N42" s="107"/>
      <c r="O42" s="107"/>
      <c r="P42" s="107"/>
      <c r="Q42" s="107"/>
      <c r="R42" s="107"/>
      <c r="S42" s="107"/>
      <c r="T42" s="107"/>
    </row>
    <row r="43" spans="1:20" s="105" customFormat="1" x14ac:dyDescent="0.25">
      <c r="K43" s="107"/>
      <c r="L43" s="107"/>
      <c r="M43" s="107"/>
      <c r="N43" s="107"/>
      <c r="O43" s="107"/>
      <c r="P43" s="107"/>
      <c r="Q43" s="107"/>
      <c r="R43" s="107"/>
      <c r="S43" s="107"/>
      <c r="T43" s="107"/>
    </row>
    <row r="44" spans="1:20" s="105" customFormat="1" x14ac:dyDescent="0.25">
      <c r="T44" s="106"/>
    </row>
    <row r="45" spans="1:20" s="105" customFormat="1" x14ac:dyDescent="0.25">
      <c r="T45" s="106"/>
    </row>
    <row r="46" spans="1:20" s="105" customFormat="1" x14ac:dyDescent="0.25">
      <c r="T46" s="106"/>
    </row>
    <row r="47" spans="1:20" s="105" customFormat="1" x14ac:dyDescent="0.25">
      <c r="T47" s="106"/>
    </row>
    <row r="48" spans="1:20" s="105" customFormat="1" x14ac:dyDescent="0.25">
      <c r="T48" s="106"/>
    </row>
    <row r="49" spans="20:20" s="105" customFormat="1" ht="12.75" customHeight="1" x14ac:dyDescent="0.25">
      <c r="T49" s="106"/>
    </row>
    <row r="50" spans="20:20" s="105" customFormat="1" x14ac:dyDescent="0.25">
      <c r="T50" s="106"/>
    </row>
    <row r="51" spans="20:20" s="105" customFormat="1" x14ac:dyDescent="0.25">
      <c r="T51" s="106"/>
    </row>
    <row r="52" spans="20:20" s="105" customFormat="1" x14ac:dyDescent="0.25">
      <c r="T52" s="106"/>
    </row>
    <row r="53" spans="20:20" s="105" customFormat="1" x14ac:dyDescent="0.25">
      <c r="T53" s="106"/>
    </row>
    <row r="54" spans="20:20" s="105" customFormat="1" x14ac:dyDescent="0.25">
      <c r="T54" s="106"/>
    </row>
    <row r="55" spans="20:20" s="105" customFormat="1" x14ac:dyDescent="0.25">
      <c r="T55" s="106"/>
    </row>
    <row r="56" spans="20:20" s="105" customFormat="1" x14ac:dyDescent="0.25">
      <c r="T56" s="106"/>
    </row>
    <row r="57" spans="20:20" s="105" customFormat="1" x14ac:dyDescent="0.25">
      <c r="T57" s="106"/>
    </row>
    <row r="58" spans="20:20" s="105" customFormat="1" x14ac:dyDescent="0.25">
      <c r="T58" s="106"/>
    </row>
    <row r="59" spans="20:20" s="105" customFormat="1" x14ac:dyDescent="0.25">
      <c r="T59" s="106"/>
    </row>
    <row r="60" spans="20:20" s="105" customFormat="1" x14ac:dyDescent="0.25">
      <c r="T60" s="106"/>
    </row>
    <row r="61" spans="20:20" s="105" customFormat="1" x14ac:dyDescent="0.25">
      <c r="T61" s="106"/>
    </row>
    <row r="62" spans="20:20" s="105" customFormat="1" x14ac:dyDescent="0.25">
      <c r="T62" s="106"/>
    </row>
    <row r="63" spans="20:20" s="105" customFormat="1" x14ac:dyDescent="0.25">
      <c r="T63" s="106"/>
    </row>
    <row r="64" spans="20:20" s="105" customFormat="1" x14ac:dyDescent="0.25">
      <c r="T64" s="106"/>
    </row>
    <row r="65" spans="20:20" s="105" customFormat="1" x14ac:dyDescent="0.25">
      <c r="T65" s="106"/>
    </row>
    <row r="66" spans="20:20" s="105" customFormat="1" x14ac:dyDescent="0.25">
      <c r="T66" s="106"/>
    </row>
    <row r="67" spans="20:20" s="105" customFormat="1" x14ac:dyDescent="0.25">
      <c r="T67" s="106"/>
    </row>
    <row r="68" spans="20:20" s="105" customFormat="1" x14ac:dyDescent="0.25">
      <c r="T68" s="106"/>
    </row>
    <row r="69" spans="20:20" s="105" customFormat="1" x14ac:dyDescent="0.25">
      <c r="T69" s="106"/>
    </row>
    <row r="70" spans="20:20" s="105" customFormat="1" x14ac:dyDescent="0.25">
      <c r="T70" s="106"/>
    </row>
    <row r="71" spans="20:20" s="105" customFormat="1" x14ac:dyDescent="0.25">
      <c r="T71" s="106"/>
    </row>
    <row r="72" spans="20:20" s="105" customFormat="1" x14ac:dyDescent="0.25">
      <c r="T72" s="106"/>
    </row>
    <row r="73" spans="20:20" s="105" customFormat="1" x14ac:dyDescent="0.25">
      <c r="T73" s="106"/>
    </row>
    <row r="74" spans="20:20" s="105" customFormat="1" x14ac:dyDescent="0.25">
      <c r="T74" s="106"/>
    </row>
    <row r="75" spans="20:20" s="105" customFormat="1" x14ac:dyDescent="0.25">
      <c r="T75" s="106"/>
    </row>
    <row r="76" spans="20:20" s="105" customFormat="1" x14ac:dyDescent="0.25">
      <c r="T76" s="106"/>
    </row>
    <row r="77" spans="20:20" s="105" customFormat="1" x14ac:dyDescent="0.25">
      <c r="T77" s="106"/>
    </row>
    <row r="78" spans="20:20" s="105" customFormat="1" x14ac:dyDescent="0.25">
      <c r="T78" s="106"/>
    </row>
    <row r="79" spans="20:20" s="105" customFormat="1" x14ac:dyDescent="0.25">
      <c r="T79" s="106"/>
    </row>
    <row r="80" spans="20:20" s="105" customFormat="1" x14ac:dyDescent="0.25">
      <c r="T80" s="106"/>
    </row>
    <row r="81" spans="20:20" s="105" customFormat="1" x14ac:dyDescent="0.25">
      <c r="T81" s="106"/>
    </row>
    <row r="82" spans="20:20" s="105" customFormat="1" x14ac:dyDescent="0.25">
      <c r="T82" s="106"/>
    </row>
  </sheetData>
  <sheetProtection password="C664" sheet="1" objects="1" scenarios="1"/>
  <mergeCells count="94">
    <mergeCell ref="B1:S1"/>
    <mergeCell ref="B3:F3"/>
    <mergeCell ref="G3:S3"/>
    <mergeCell ref="B4:F4"/>
    <mergeCell ref="G4:S4"/>
    <mergeCell ref="B5:F5"/>
    <mergeCell ref="G5:S5"/>
    <mergeCell ref="B6:F6"/>
    <mergeCell ref="G6:S6"/>
    <mergeCell ref="B7:F7"/>
    <mergeCell ref="B8:F8"/>
    <mergeCell ref="B9:Q9"/>
    <mergeCell ref="R9:S9"/>
    <mergeCell ref="B10:Q10"/>
    <mergeCell ref="R10:S10"/>
    <mergeCell ref="B11:S11"/>
    <mergeCell ref="B12:F13"/>
    <mergeCell ref="G12:I13"/>
    <mergeCell ref="K12:S12"/>
    <mergeCell ref="K13:M13"/>
    <mergeCell ref="N13:P13"/>
    <mergeCell ref="Q13:S13"/>
    <mergeCell ref="B14:F14"/>
    <mergeCell ref="G14:I14"/>
    <mergeCell ref="K14:M14"/>
    <mergeCell ref="N14:P14"/>
    <mergeCell ref="Q14:S14"/>
    <mergeCell ref="B15:F15"/>
    <mergeCell ref="G15:I15"/>
    <mergeCell ref="K15:M15"/>
    <mergeCell ref="N15:P15"/>
    <mergeCell ref="Q15:S15"/>
    <mergeCell ref="B16:F16"/>
    <mergeCell ref="G16:I16"/>
    <mergeCell ref="K16:M16"/>
    <mergeCell ref="N16:P16"/>
    <mergeCell ref="Q16:S16"/>
    <mergeCell ref="B17:F17"/>
    <mergeCell ref="G17:I17"/>
    <mergeCell ref="K17:M17"/>
    <mergeCell ref="N17:P17"/>
    <mergeCell ref="Q17:S17"/>
    <mergeCell ref="B18:F18"/>
    <mergeCell ref="G18:I18"/>
    <mergeCell ref="K18:M18"/>
    <mergeCell ref="N18:P18"/>
    <mergeCell ref="Q18:S18"/>
    <mergeCell ref="B19:F19"/>
    <mergeCell ref="G19:I19"/>
    <mergeCell ref="K19:M19"/>
    <mergeCell ref="N19:P19"/>
    <mergeCell ref="Q19:S19"/>
    <mergeCell ref="B20:F20"/>
    <mergeCell ref="G20:I20"/>
    <mergeCell ref="K20:M20"/>
    <mergeCell ref="N20:P20"/>
    <mergeCell ref="Q20:S20"/>
    <mergeCell ref="B21:F21"/>
    <mergeCell ref="G21:I21"/>
    <mergeCell ref="K21:M21"/>
    <mergeCell ref="N21:P21"/>
    <mergeCell ref="Q21:S21"/>
    <mergeCell ref="B22:F22"/>
    <mergeCell ref="G22:I22"/>
    <mergeCell ref="K22:M22"/>
    <mergeCell ref="N22:P22"/>
    <mergeCell ref="Q22:S22"/>
    <mergeCell ref="B23:F23"/>
    <mergeCell ref="G23:I23"/>
    <mergeCell ref="B25:I25"/>
    <mergeCell ref="K25:S25"/>
    <mergeCell ref="B26:F26"/>
    <mergeCell ref="G26:I26"/>
    <mergeCell ref="K26:M26"/>
    <mergeCell ref="N26:P26"/>
    <mergeCell ref="Q26:S26"/>
    <mergeCell ref="J37:S37"/>
    <mergeCell ref="B27:S27"/>
    <mergeCell ref="B28:S28"/>
    <mergeCell ref="B29:S29"/>
    <mergeCell ref="B30:S30"/>
    <mergeCell ref="B32:S32"/>
    <mergeCell ref="B34:I34"/>
    <mergeCell ref="J34:S34"/>
    <mergeCell ref="B35:I35"/>
    <mergeCell ref="J35:S35"/>
    <mergeCell ref="B36:I36"/>
    <mergeCell ref="J36:S36"/>
    <mergeCell ref="B37:I37"/>
    <mergeCell ref="B38:S38"/>
    <mergeCell ref="B39:I39"/>
    <mergeCell ref="B40:I40"/>
    <mergeCell ref="B41:I41"/>
    <mergeCell ref="B42:I42"/>
  </mergeCells>
  <conditionalFormatting sqref="T14:T20 J26">
    <cfRule type="cellIs" dxfId="4" priority="1" stopIfTrue="1" operator="notEqual">
      <formula>"OK"</formula>
    </cfRule>
  </conditionalFormatting>
  <conditionalFormatting sqref="J34:S34 B36:S36 G3:S6 B32:S32 G14:I20 R9:S10 B41:I41">
    <cfRule type="cellIs" dxfId="3" priority="2" stopIfTrue="1" operator="equal">
      <formula>0</formula>
    </cfRule>
  </conditionalFormatting>
  <conditionalFormatting sqref="B11:S11">
    <cfRule type="cellIs" dxfId="2" priority="3" stopIfTrue="1" operator="notEqual">
      <formula>"."</formula>
    </cfRule>
  </conditionalFormatting>
  <conditionalFormatting sqref="B27:S27">
    <cfRule type="cellIs" dxfId="1" priority="4" stopIfTrue="1" operator="notEqual">
      <formula>"."</formula>
    </cfRule>
  </conditionalFormatting>
  <conditionalFormatting sqref="B30:S30">
    <cfRule type="cellIs" dxfId="0" priority="5" stopIfTrue="1" operator="notEqual">
      <formula>"."</formula>
    </cfRule>
  </conditionalFormatting>
  <pageMargins left="0.78740157499999996" right="0.78740157499999996" top="0.49" bottom="0.5" header="0.49212598499999999" footer="0.49212598499999999"/>
  <pageSetup paperSize="9" scale="87" orientation="portrait" horizontalDpi="4294967295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6</xdr:col>
                    <xdr:colOff>7620</xdr:colOff>
                    <xdr:row>6</xdr:row>
                    <xdr:rowOff>7620</xdr:rowOff>
                  </from>
                  <to>
                    <xdr:col>18</xdr:col>
                    <xdr:colOff>190500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6</xdr:col>
                    <xdr:colOff>7620</xdr:colOff>
                    <xdr:row>7</xdr:row>
                    <xdr:rowOff>7620</xdr:rowOff>
                  </from>
                  <to>
                    <xdr:col>18</xdr:col>
                    <xdr:colOff>198120</xdr:colOff>
                    <xdr:row>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ORÇAMENTO</vt:lpstr>
      <vt:lpstr>CRONOGRAMA</vt:lpstr>
      <vt:lpstr>COMPOSIÇÕES</vt:lpstr>
      <vt:lpstr>BDI</vt:lpstr>
      <vt:lpstr>MEMÓRIA DE CÁLCULO DETALHADA</vt:lpstr>
      <vt:lpstr>BDI (2)</vt:lpstr>
      <vt:lpstr>BDI!Area_de_impressao</vt:lpstr>
      <vt:lpstr>'BDI (2)'!Area_de_impressao</vt:lpstr>
      <vt:lpstr>COMPOSIÇÕES!Area_de_impressao</vt:lpstr>
      <vt:lpstr>CRONOGRAMA!Area_de_impressao</vt:lpstr>
      <vt:lpstr>'MEMÓRIA DE CÁLCULO DETALHADA'!Area_de_impressao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SETOR ENG. CIVIL</dc:creator>
  <cp:lastModifiedBy>Rodrigo</cp:lastModifiedBy>
  <cp:lastPrinted>2025-09-26T12:03:51Z</cp:lastPrinted>
  <dcterms:created xsi:type="dcterms:W3CDTF">2022-02-01T13:09:47Z</dcterms:created>
  <dcterms:modified xsi:type="dcterms:W3CDTF">2025-10-02T13:13:07Z</dcterms:modified>
</cp:coreProperties>
</file>